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fettahoglu\Desktop\"/>
    </mc:Choice>
  </mc:AlternateContent>
  <bookViews>
    <workbookView xWindow="480" yWindow="150" windowWidth="18240" windowHeight="11790" tabRatio="917" activeTab="10"/>
  </bookViews>
  <sheets>
    <sheet name="DonenVarlik" sheetId="8" r:id="rId1"/>
    <sheet name="YillikMaliyetTahmini" sheetId="1" r:id="rId2"/>
    <sheet name="YillikSatisTahmini" sheetId="12" r:id="rId3"/>
    <sheet name="5YillikSatisTahmini" sheetId="6" r:id="rId4"/>
    <sheet name="DuranVarlik" sheetId="2" r:id="rId5"/>
    <sheet name="IsletmeGiderleri" sheetId="3" r:id="rId6"/>
    <sheet name="KurulusSabitYat_Destegi" sheetId="10" r:id="rId7"/>
    <sheet name="IsletmeGiderleri_Destegi" sheetId="9" r:id="rId8"/>
    <sheet name="AylikNakitProjeksiyonu" sheetId="4" r:id="rId9"/>
    <sheet name="YillikNakitProjeksiyonu" sheetId="5" r:id="rId10"/>
    <sheet name="Basabas" sheetId="11" r:id="rId11"/>
  </sheets>
  <calcPr calcId="162913"/>
</workbook>
</file>

<file path=xl/calcChain.xml><?xml version="1.0" encoding="utf-8"?>
<calcChain xmlns="http://schemas.openxmlformats.org/spreadsheetml/2006/main">
  <c r="I19" i="2" l="1"/>
  <c r="C11" i="12"/>
  <c r="D11" i="12"/>
  <c r="E11" i="12" s="1"/>
  <c r="F11" i="12" s="1"/>
  <c r="G11" i="12" s="1"/>
  <c r="H11" i="12" s="1"/>
  <c r="I11" i="12" s="1"/>
  <c r="J11" i="12" s="1"/>
  <c r="K11" i="12" s="1"/>
  <c r="L11" i="12" s="1"/>
  <c r="M11" i="12" s="1"/>
  <c r="B7" i="1"/>
  <c r="B8" i="1"/>
  <c r="B10" i="1" s="1"/>
  <c r="B9" i="1"/>
  <c r="B6" i="1"/>
  <c r="A7" i="1"/>
  <c r="A8" i="1"/>
  <c r="A9" i="1"/>
  <c r="A6" i="1"/>
  <c r="L3" i="8"/>
  <c r="L4" i="8"/>
  <c r="L5" i="8"/>
  <c r="L2" i="8"/>
  <c r="F3" i="8"/>
  <c r="F4" i="8"/>
  <c r="F5" i="8"/>
  <c r="F2" i="8"/>
  <c r="D1" i="2" l="1"/>
  <c r="B28" i="5"/>
  <c r="G3" i="11" l="1"/>
  <c r="E4" i="11"/>
  <c r="E5" i="11"/>
  <c r="E6" i="11"/>
  <c r="E3" i="11"/>
  <c r="K3" i="8" l="1"/>
  <c r="K4" i="8"/>
  <c r="K5" i="8"/>
  <c r="K2" i="8"/>
  <c r="J3" i="8"/>
  <c r="J4" i="8"/>
  <c r="J5" i="8"/>
  <c r="J2" i="8"/>
  <c r="C3" i="4" l="1"/>
  <c r="D3" i="4"/>
  <c r="E3" i="4"/>
  <c r="F3" i="4"/>
  <c r="G3" i="4"/>
  <c r="H3" i="4"/>
  <c r="I3" i="4"/>
  <c r="J3" i="4"/>
  <c r="K3" i="4"/>
  <c r="L3" i="4"/>
  <c r="M3" i="4"/>
  <c r="B3" i="4"/>
  <c r="C2" i="4"/>
  <c r="D2" i="4"/>
  <c r="E2" i="4"/>
  <c r="F2" i="4"/>
  <c r="G2" i="4"/>
  <c r="H2" i="4"/>
  <c r="I2" i="4"/>
  <c r="J2" i="4"/>
  <c r="K2" i="4"/>
  <c r="L2" i="4"/>
  <c r="M2" i="4"/>
  <c r="B2" i="4"/>
  <c r="A4" i="9" l="1"/>
  <c r="A5" i="9"/>
  <c r="A6" i="9"/>
  <c r="A7" i="9"/>
  <c r="A8" i="9"/>
  <c r="A9" i="9"/>
  <c r="A10" i="9"/>
  <c r="A3" i="9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I4" i="3"/>
  <c r="J9" i="3"/>
  <c r="H4" i="3"/>
  <c r="C2" i="12"/>
  <c r="D2" i="12"/>
  <c r="E2" i="12"/>
  <c r="F2" i="12"/>
  <c r="G2" i="12"/>
  <c r="H2" i="12"/>
  <c r="I2" i="12"/>
  <c r="J2" i="12"/>
  <c r="K2" i="12"/>
  <c r="L2" i="12"/>
  <c r="M2" i="12"/>
  <c r="N2" i="12"/>
  <c r="B2" i="12"/>
  <c r="A1" i="12"/>
  <c r="I3" i="11"/>
  <c r="D4" i="11"/>
  <c r="D5" i="11"/>
  <c r="D6" i="11"/>
  <c r="D3" i="11"/>
  <c r="C4" i="11"/>
  <c r="F4" i="11" s="1"/>
  <c r="G4" i="11" s="1"/>
  <c r="C5" i="11"/>
  <c r="F5" i="11" s="1"/>
  <c r="G5" i="11" s="1"/>
  <c r="C6" i="11"/>
  <c r="F6" i="11" s="1"/>
  <c r="G6" i="11" s="1"/>
  <c r="C3" i="11"/>
  <c r="F3" i="11" s="1"/>
  <c r="B6" i="11"/>
  <c r="B3" i="11"/>
  <c r="B4" i="11"/>
  <c r="B5" i="11"/>
  <c r="B2" i="11"/>
  <c r="B4" i="10" l="1"/>
  <c r="B5" i="10"/>
  <c r="B6" i="10"/>
  <c r="B7" i="10"/>
  <c r="B8" i="10"/>
  <c r="B9" i="10"/>
  <c r="B10" i="10"/>
  <c r="B11" i="10"/>
  <c r="B3" i="10"/>
  <c r="F33" i="10"/>
  <c r="F34" i="10" s="1"/>
  <c r="F35" i="10" s="1"/>
  <c r="F36" i="10" s="1"/>
  <c r="F37" i="10" s="1"/>
  <c r="D15" i="10"/>
  <c r="F15" i="10" s="1"/>
  <c r="A15" i="10"/>
  <c r="I1" i="2"/>
  <c r="I3" i="2"/>
  <c r="C16" i="2"/>
  <c r="C17" i="2"/>
  <c r="B16" i="2"/>
  <c r="B17" i="2"/>
  <c r="D21" i="10"/>
  <c r="D22" i="10"/>
  <c r="A21" i="10"/>
  <c r="A22" i="10"/>
  <c r="B19" i="5"/>
  <c r="E31" i="1"/>
  <c r="E34" i="1" s="1"/>
  <c r="F31" i="1"/>
  <c r="G31" i="1"/>
  <c r="H31" i="1"/>
  <c r="I31" i="1"/>
  <c r="J31" i="1"/>
  <c r="K31" i="1"/>
  <c r="L31" i="1"/>
  <c r="E32" i="1"/>
  <c r="I32" i="1"/>
  <c r="E33" i="1"/>
  <c r="H33" i="1"/>
  <c r="I33" i="1"/>
  <c r="L33" i="1"/>
  <c r="F30" i="1"/>
  <c r="G30" i="1"/>
  <c r="H30" i="1"/>
  <c r="I30" i="1"/>
  <c r="J30" i="1"/>
  <c r="K30" i="1"/>
  <c r="L30" i="1"/>
  <c r="E30" i="1"/>
  <c r="E22" i="1"/>
  <c r="M31" i="1"/>
  <c r="M33" i="1"/>
  <c r="M30" i="1"/>
  <c r="D30" i="1"/>
  <c r="B31" i="1"/>
  <c r="C31" i="1"/>
  <c r="D31" i="1"/>
  <c r="B33" i="1"/>
  <c r="C30" i="1"/>
  <c r="B30" i="1"/>
  <c r="B22" i="1"/>
  <c r="A31" i="1"/>
  <c r="A32" i="1"/>
  <c r="A33" i="1"/>
  <c r="A30" i="1"/>
  <c r="A22" i="1"/>
  <c r="A7" i="4" s="1"/>
  <c r="E23" i="1"/>
  <c r="F23" i="1"/>
  <c r="G23" i="1"/>
  <c r="H23" i="1"/>
  <c r="I23" i="1"/>
  <c r="J23" i="1"/>
  <c r="K23" i="1"/>
  <c r="L23" i="1"/>
  <c r="F24" i="1"/>
  <c r="J24" i="1"/>
  <c r="E25" i="1"/>
  <c r="F25" i="1"/>
  <c r="I25" i="1"/>
  <c r="J25" i="1"/>
  <c r="F22" i="1"/>
  <c r="G22" i="1"/>
  <c r="H22" i="1"/>
  <c r="I22" i="1"/>
  <c r="J22" i="1"/>
  <c r="K22" i="1"/>
  <c r="L22" i="1"/>
  <c r="E15" i="1"/>
  <c r="F15" i="1"/>
  <c r="G15" i="1"/>
  <c r="H15" i="1"/>
  <c r="I15" i="1"/>
  <c r="J15" i="1"/>
  <c r="K15" i="1"/>
  <c r="L15" i="1"/>
  <c r="G16" i="1"/>
  <c r="K16" i="1"/>
  <c r="F17" i="1"/>
  <c r="G17" i="1"/>
  <c r="J17" i="1"/>
  <c r="K17" i="1"/>
  <c r="F14" i="1"/>
  <c r="G14" i="1"/>
  <c r="H14" i="1"/>
  <c r="I14" i="1"/>
  <c r="J14" i="1"/>
  <c r="K14" i="1"/>
  <c r="L14" i="1"/>
  <c r="E14" i="1"/>
  <c r="D22" i="1"/>
  <c r="M23" i="1"/>
  <c r="M22" i="1"/>
  <c r="B23" i="1"/>
  <c r="C23" i="1"/>
  <c r="D23" i="1"/>
  <c r="D25" i="1"/>
  <c r="C22" i="1"/>
  <c r="B14" i="1"/>
  <c r="D14" i="1"/>
  <c r="M15" i="1"/>
  <c r="M14" i="1"/>
  <c r="B15" i="1"/>
  <c r="C15" i="1"/>
  <c r="D15" i="1"/>
  <c r="D17" i="1"/>
  <c r="C14" i="1"/>
  <c r="A9" i="12"/>
  <c r="A8" i="12"/>
  <c r="A7" i="12"/>
  <c r="A6" i="12"/>
  <c r="L9" i="3"/>
  <c r="I5" i="8"/>
  <c r="F33" i="1" s="1"/>
  <c r="H5" i="8"/>
  <c r="I4" i="8"/>
  <c r="F32" i="1" s="1"/>
  <c r="H4" i="8"/>
  <c r="B32" i="1" s="1"/>
  <c r="M2" i="8"/>
  <c r="F6" i="1" s="1"/>
  <c r="N5" i="8"/>
  <c r="M9" i="12" s="1"/>
  <c r="M10" i="4" s="1"/>
  <c r="O5" i="8"/>
  <c r="L9" i="12" s="1"/>
  <c r="L10" i="4" s="1"/>
  <c r="C21" i="2"/>
  <c r="C22" i="2"/>
  <c r="C23" i="2"/>
  <c r="B21" i="2"/>
  <c r="B22" i="2"/>
  <c r="B23" i="2"/>
  <c r="C20" i="2"/>
  <c r="D19" i="2" s="1"/>
  <c r="B29" i="5" s="1"/>
  <c r="B20" i="2"/>
  <c r="B5" i="2"/>
  <c r="B6" i="2"/>
  <c r="B7" i="2"/>
  <c r="B8" i="2"/>
  <c r="B9" i="2"/>
  <c r="B10" i="2"/>
  <c r="B11" i="2"/>
  <c r="B12" i="2"/>
  <c r="B13" i="2"/>
  <c r="B14" i="2"/>
  <c r="B15" i="2"/>
  <c r="B4" i="2"/>
  <c r="C5" i="2"/>
  <c r="C6" i="2"/>
  <c r="C7" i="2"/>
  <c r="C8" i="2"/>
  <c r="C9" i="2"/>
  <c r="C10" i="2"/>
  <c r="C11" i="2"/>
  <c r="C12" i="2"/>
  <c r="C13" i="2"/>
  <c r="C14" i="2"/>
  <c r="C15" i="2"/>
  <c r="C4" i="2"/>
  <c r="D3" i="2" s="1"/>
  <c r="D25" i="10"/>
  <c r="D26" i="10"/>
  <c r="D27" i="10"/>
  <c r="D24" i="10"/>
  <c r="D16" i="10"/>
  <c r="D17" i="10"/>
  <c r="D18" i="10"/>
  <c r="D19" i="10"/>
  <c r="D20" i="10"/>
  <c r="D23" i="10"/>
  <c r="A25" i="10"/>
  <c r="A26" i="10"/>
  <c r="A27" i="10"/>
  <c r="A24" i="10"/>
  <c r="A23" i="10"/>
  <c r="A16" i="10"/>
  <c r="A17" i="10"/>
  <c r="A18" i="10"/>
  <c r="A19" i="10"/>
  <c r="A20" i="10"/>
  <c r="D3" i="10"/>
  <c r="D4" i="10" s="1"/>
  <c r="D5" i="10" s="1"/>
  <c r="B4" i="9"/>
  <c r="B5" i="9"/>
  <c r="B6" i="9"/>
  <c r="B7" i="9"/>
  <c r="B9" i="9"/>
  <c r="B10" i="9"/>
  <c r="B3" i="9"/>
  <c r="D3" i="9" s="1"/>
  <c r="L11" i="3"/>
  <c r="L10" i="3"/>
  <c r="L8" i="3"/>
  <c r="L7" i="3"/>
  <c r="L6" i="3"/>
  <c r="L5" i="3"/>
  <c r="L4" i="3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C14" i="4"/>
  <c r="D14" i="4"/>
  <c r="E14" i="4"/>
  <c r="F14" i="4"/>
  <c r="G14" i="4"/>
  <c r="H14" i="4"/>
  <c r="I14" i="4"/>
  <c r="J14" i="4"/>
  <c r="K14" i="4"/>
  <c r="L14" i="4"/>
  <c r="M14" i="4"/>
  <c r="B14" i="4"/>
  <c r="E11" i="3"/>
  <c r="B26" i="5" s="1"/>
  <c r="C26" i="5" s="1"/>
  <c r="D26" i="5" s="1"/>
  <c r="E5" i="3"/>
  <c r="B20" i="5" s="1"/>
  <c r="C20" i="5" s="1"/>
  <c r="D20" i="5" s="1"/>
  <c r="E6" i="3"/>
  <c r="B21" i="5" s="1"/>
  <c r="C21" i="5" s="1"/>
  <c r="D21" i="5" s="1"/>
  <c r="E7" i="3"/>
  <c r="B22" i="5" s="1"/>
  <c r="C22" i="5" s="1"/>
  <c r="D22" i="5" s="1"/>
  <c r="E9" i="3"/>
  <c r="B24" i="5" s="1"/>
  <c r="C24" i="5" s="1"/>
  <c r="D24" i="5" s="1"/>
  <c r="E10" i="3"/>
  <c r="B25" i="5" s="1"/>
  <c r="C25" i="5" s="1"/>
  <c r="D25" i="5" s="1"/>
  <c r="E4" i="3"/>
  <c r="A4" i="6"/>
  <c r="A5" i="6"/>
  <c r="A6" i="6"/>
  <c r="A3" i="6"/>
  <c r="A23" i="1"/>
  <c r="A8" i="4" s="1"/>
  <c r="A24" i="1"/>
  <c r="A9" i="4" s="1"/>
  <c r="A25" i="1"/>
  <c r="A10" i="4" s="1"/>
  <c r="A15" i="1"/>
  <c r="A16" i="1"/>
  <c r="A17" i="1"/>
  <c r="A14" i="1"/>
  <c r="O4" i="8"/>
  <c r="L8" i="12" s="1"/>
  <c r="L9" i="4" s="1"/>
  <c r="M3" i="8"/>
  <c r="E7" i="1" s="1"/>
  <c r="M7" i="1"/>
  <c r="O3" i="8"/>
  <c r="L7" i="12" s="1"/>
  <c r="L8" i="4" s="1"/>
  <c r="N3" i="8"/>
  <c r="M7" i="12" s="1"/>
  <c r="M8" i="4" s="1"/>
  <c r="O2" i="8"/>
  <c r="L6" i="12" s="1"/>
  <c r="L7" i="4" s="1"/>
  <c r="N2" i="8"/>
  <c r="M6" i="12" s="1"/>
  <c r="M7" i="4" s="1"/>
  <c r="D25" i="2"/>
  <c r="D3" i="3"/>
  <c r="I34" i="1" l="1"/>
  <c r="H3" i="11"/>
  <c r="J3" i="11" s="1"/>
  <c r="B34" i="1"/>
  <c r="F34" i="1"/>
  <c r="D9" i="1"/>
  <c r="C9" i="1"/>
  <c r="M9" i="1"/>
  <c r="B30" i="5"/>
  <c r="M6" i="1"/>
  <c r="M8" i="1"/>
  <c r="K3" i="3"/>
  <c r="B8" i="9"/>
  <c r="C24" i="1"/>
  <c r="F16" i="1"/>
  <c r="E24" i="1"/>
  <c r="H32" i="1"/>
  <c r="H34" i="1" s="1"/>
  <c r="C19" i="5"/>
  <c r="D19" i="5" s="1"/>
  <c r="D4" i="9"/>
  <c r="D5" i="9" s="1"/>
  <c r="D6" i="9" s="1"/>
  <c r="D7" i="9" s="1"/>
  <c r="M5" i="8"/>
  <c r="C17" i="1"/>
  <c r="B16" i="1"/>
  <c r="C25" i="1"/>
  <c r="B24" i="1"/>
  <c r="I17" i="1"/>
  <c r="E17" i="1"/>
  <c r="I16" i="1"/>
  <c r="E16" i="1"/>
  <c r="L25" i="1"/>
  <c r="H25" i="1"/>
  <c r="L24" i="1"/>
  <c r="H24" i="1"/>
  <c r="D33" i="1"/>
  <c r="C32" i="1"/>
  <c r="M32" i="1"/>
  <c r="M34" i="1" s="1"/>
  <c r="K33" i="1"/>
  <c r="G33" i="1"/>
  <c r="K32" i="1"/>
  <c r="G32" i="1"/>
  <c r="D16" i="1"/>
  <c r="D18" i="1" s="1"/>
  <c r="M16" i="1"/>
  <c r="D24" i="1"/>
  <c r="M24" i="1"/>
  <c r="N31" i="1"/>
  <c r="C16" i="1"/>
  <c r="C18" i="1" s="1"/>
  <c r="J16" i="1"/>
  <c r="I24" i="1"/>
  <c r="D32" i="1"/>
  <c r="L32" i="1"/>
  <c r="L34" i="1" s="1"/>
  <c r="M4" i="8"/>
  <c r="E8" i="1" s="1"/>
  <c r="N4" i="8"/>
  <c r="M8" i="12" s="1"/>
  <c r="M9" i="4" s="1"/>
  <c r="B17" i="1"/>
  <c r="M17" i="1"/>
  <c r="B25" i="1"/>
  <c r="M25" i="1"/>
  <c r="L17" i="1"/>
  <c r="H17" i="1"/>
  <c r="L16" i="1"/>
  <c r="H16" i="1"/>
  <c r="K25" i="1"/>
  <c r="G25" i="1"/>
  <c r="K24" i="1"/>
  <c r="G24" i="1"/>
  <c r="C33" i="1"/>
  <c r="J33" i="1"/>
  <c r="J32" i="1"/>
  <c r="B6" i="12"/>
  <c r="B7" i="4" s="1"/>
  <c r="C6" i="12"/>
  <c r="C7" i="4" s="1"/>
  <c r="D6" i="12"/>
  <c r="D7" i="4" s="1"/>
  <c r="E6" i="12"/>
  <c r="E7" i="4" s="1"/>
  <c r="F6" i="12"/>
  <c r="F7" i="4" s="1"/>
  <c r="G6" i="12"/>
  <c r="G7" i="4" s="1"/>
  <c r="H6" i="12"/>
  <c r="H7" i="4" s="1"/>
  <c r="I6" i="12"/>
  <c r="I7" i="4" s="1"/>
  <c r="J6" i="12"/>
  <c r="J7" i="4" s="1"/>
  <c r="K6" i="12"/>
  <c r="K7" i="4" s="1"/>
  <c r="B8" i="12"/>
  <c r="C8" i="12"/>
  <c r="C9" i="4" s="1"/>
  <c r="D8" i="12"/>
  <c r="D9" i="4" s="1"/>
  <c r="E8" i="12"/>
  <c r="E9" i="4" s="1"/>
  <c r="F8" i="12"/>
  <c r="F9" i="4" s="1"/>
  <c r="G8" i="12"/>
  <c r="G9" i="4" s="1"/>
  <c r="H8" i="12"/>
  <c r="H9" i="4" s="1"/>
  <c r="I8" i="12"/>
  <c r="I9" i="4" s="1"/>
  <c r="J8" i="12"/>
  <c r="J9" i="4" s="1"/>
  <c r="K8" i="12"/>
  <c r="K9" i="4" s="1"/>
  <c r="B9" i="12"/>
  <c r="C9" i="12"/>
  <c r="C10" i="4" s="1"/>
  <c r="D9" i="12"/>
  <c r="D10" i="4" s="1"/>
  <c r="E9" i="12"/>
  <c r="E10" i="4" s="1"/>
  <c r="F9" i="12"/>
  <c r="F10" i="4" s="1"/>
  <c r="G9" i="12"/>
  <c r="G10" i="4" s="1"/>
  <c r="H9" i="12"/>
  <c r="H10" i="4" s="1"/>
  <c r="I9" i="12"/>
  <c r="I10" i="4" s="1"/>
  <c r="J9" i="12"/>
  <c r="J10" i="4" s="1"/>
  <c r="K9" i="12"/>
  <c r="K10" i="4" s="1"/>
  <c r="L10" i="12"/>
  <c r="E7" i="12"/>
  <c r="E8" i="4" s="1"/>
  <c r="F7" i="12"/>
  <c r="F8" i="4" s="1"/>
  <c r="G7" i="12"/>
  <c r="G8" i="4" s="1"/>
  <c r="H7" i="12"/>
  <c r="H8" i="4" s="1"/>
  <c r="I7" i="12"/>
  <c r="I8" i="4" s="1"/>
  <c r="J7" i="12"/>
  <c r="J8" i="4" s="1"/>
  <c r="K7" i="12"/>
  <c r="K8" i="4" s="1"/>
  <c r="B7" i="12"/>
  <c r="C7" i="12"/>
  <c r="C8" i="4" s="1"/>
  <c r="D7" i="12"/>
  <c r="D8" i="4" s="1"/>
  <c r="F16" i="10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N30" i="1"/>
  <c r="D6" i="1"/>
  <c r="D8" i="1"/>
  <c r="C8" i="1"/>
  <c r="D7" i="1"/>
  <c r="C7" i="1"/>
  <c r="E6" i="1"/>
  <c r="L6" i="1"/>
  <c r="K6" i="1"/>
  <c r="J6" i="1"/>
  <c r="I6" i="1"/>
  <c r="H6" i="1"/>
  <c r="G6" i="1"/>
  <c r="L8" i="1"/>
  <c r="K8" i="1"/>
  <c r="J8" i="1"/>
  <c r="I8" i="1"/>
  <c r="H8" i="1"/>
  <c r="G8" i="1"/>
  <c r="F8" i="1"/>
  <c r="L7" i="1"/>
  <c r="K7" i="1"/>
  <c r="J7" i="1"/>
  <c r="I7" i="1"/>
  <c r="H7" i="1"/>
  <c r="G7" i="1"/>
  <c r="F7" i="1"/>
  <c r="I25" i="2"/>
  <c r="D6" i="10"/>
  <c r="D7" i="10" s="1"/>
  <c r="D8" i="10" s="1"/>
  <c r="D9" i="10" s="1"/>
  <c r="D10" i="10" s="1"/>
  <c r="D11" i="10" s="1"/>
  <c r="M3" i="3"/>
  <c r="E8" i="3"/>
  <c r="N24" i="1"/>
  <c r="N23" i="1"/>
  <c r="K18" i="1"/>
  <c r="N7" i="1" l="1"/>
  <c r="D10" i="1"/>
  <c r="M10" i="1"/>
  <c r="N8" i="1"/>
  <c r="G10" i="1"/>
  <c r="K3" i="11"/>
  <c r="K4" i="11"/>
  <c r="L4" i="11" s="1"/>
  <c r="K5" i="11"/>
  <c r="L5" i="11" s="1"/>
  <c r="K6" i="11"/>
  <c r="L6" i="11" s="1"/>
  <c r="M13" i="4"/>
  <c r="M22" i="4" s="1"/>
  <c r="J34" i="1"/>
  <c r="N33" i="1"/>
  <c r="N25" i="1"/>
  <c r="D34" i="1"/>
  <c r="B26" i="1"/>
  <c r="K34" i="1"/>
  <c r="N32" i="1"/>
  <c r="E18" i="1"/>
  <c r="M10" i="12"/>
  <c r="L3" i="11"/>
  <c r="B13" i="4"/>
  <c r="B22" i="4" s="1"/>
  <c r="N6" i="12"/>
  <c r="B3" i="6" s="1"/>
  <c r="H9" i="1"/>
  <c r="L9" i="1"/>
  <c r="I9" i="1"/>
  <c r="I10" i="1" s="1"/>
  <c r="E9" i="1"/>
  <c r="E10" i="1" s="1"/>
  <c r="F9" i="1"/>
  <c r="J9" i="1"/>
  <c r="G9" i="1"/>
  <c r="K9" i="1"/>
  <c r="C6" i="1"/>
  <c r="N34" i="1"/>
  <c r="E16" i="3" s="1"/>
  <c r="B17" i="5" s="1"/>
  <c r="C17" i="5" s="1"/>
  <c r="D17" i="5" s="1"/>
  <c r="M26" i="1"/>
  <c r="G34" i="1"/>
  <c r="D8" i="9"/>
  <c r="D9" i="9" s="1"/>
  <c r="D10" i="9" s="1"/>
  <c r="C34" i="1"/>
  <c r="N9" i="12"/>
  <c r="B10" i="4"/>
  <c r="N8" i="12"/>
  <c r="B9" i="4"/>
  <c r="K10" i="12"/>
  <c r="J10" i="12"/>
  <c r="I10" i="12"/>
  <c r="H10" i="12"/>
  <c r="G10" i="12"/>
  <c r="F10" i="12"/>
  <c r="E10" i="12"/>
  <c r="N7" i="12"/>
  <c r="B8" i="4"/>
  <c r="D10" i="12"/>
  <c r="C10" i="12"/>
  <c r="B10" i="12"/>
  <c r="B11" i="12" s="1"/>
  <c r="F26" i="1"/>
  <c r="G26" i="1"/>
  <c r="H26" i="1"/>
  <c r="I26" i="1"/>
  <c r="J26" i="1"/>
  <c r="K26" i="1"/>
  <c r="L26" i="1"/>
  <c r="E26" i="1"/>
  <c r="C26" i="1"/>
  <c r="D26" i="1"/>
  <c r="N22" i="1"/>
  <c r="F3" i="3"/>
  <c r="B23" i="5"/>
  <c r="L18" i="1"/>
  <c r="G18" i="1"/>
  <c r="N15" i="1"/>
  <c r="J18" i="1"/>
  <c r="F18" i="1"/>
  <c r="B18" i="1"/>
  <c r="N14" i="1"/>
  <c r="I18" i="1"/>
  <c r="N17" i="1"/>
  <c r="H18" i="1"/>
  <c r="M18" i="1"/>
  <c r="N16" i="1"/>
  <c r="J13" i="4" l="1"/>
  <c r="J22" i="4" s="1"/>
  <c r="N6" i="1"/>
  <c r="C10" i="1"/>
  <c r="F13" i="4"/>
  <c r="F22" i="4" s="1"/>
  <c r="J10" i="1"/>
  <c r="L13" i="4"/>
  <c r="L22" i="4" s="1"/>
  <c r="N9" i="1"/>
  <c r="L10" i="1"/>
  <c r="G13" i="4"/>
  <c r="G22" i="4" s="1"/>
  <c r="K10" i="1"/>
  <c r="K13" i="4" s="1"/>
  <c r="K22" i="4" s="1"/>
  <c r="H10" i="1"/>
  <c r="H13" i="4" s="1"/>
  <c r="H22" i="4" s="1"/>
  <c r="F10" i="1"/>
  <c r="N26" i="1"/>
  <c r="E15" i="3" s="1"/>
  <c r="C15" i="3" s="1"/>
  <c r="C16" i="3"/>
  <c r="N10" i="12"/>
  <c r="B11" i="5" s="1"/>
  <c r="B12" i="5" s="1"/>
  <c r="B11" i="4"/>
  <c r="B23" i="4" s="1"/>
  <c r="C5" i="4" s="1"/>
  <c r="C11" i="4" s="1"/>
  <c r="L7" i="11"/>
  <c r="L16" i="3"/>
  <c r="J16" i="3" s="1"/>
  <c r="E13" i="4"/>
  <c r="E22" i="4" s="1"/>
  <c r="B5" i="6"/>
  <c r="C5" i="6" s="1"/>
  <c r="D5" i="6" s="1"/>
  <c r="E5" i="6" s="1"/>
  <c r="F5" i="6" s="1"/>
  <c r="B6" i="6"/>
  <c r="C6" i="6" s="1"/>
  <c r="D6" i="6" s="1"/>
  <c r="E6" i="6" s="1"/>
  <c r="F6" i="6" s="1"/>
  <c r="I13" i="4"/>
  <c r="I22" i="4" s="1"/>
  <c r="D13" i="4"/>
  <c r="D22" i="4" s="1"/>
  <c r="C13" i="4"/>
  <c r="C22" i="4" s="1"/>
  <c r="B16" i="5"/>
  <c r="C16" i="5" s="1"/>
  <c r="D16" i="5" s="1"/>
  <c r="B4" i="6"/>
  <c r="C4" i="6" s="1"/>
  <c r="D4" i="6" s="1"/>
  <c r="E4" i="6" s="1"/>
  <c r="F4" i="6" s="1"/>
  <c r="C3" i="6"/>
  <c r="C23" i="5"/>
  <c r="N18" i="1"/>
  <c r="E14" i="3" s="1"/>
  <c r="N10" i="1" l="1"/>
  <c r="L15" i="3"/>
  <c r="J15" i="3" s="1"/>
  <c r="C11" i="5"/>
  <c r="D11" i="5" s="1"/>
  <c r="B7" i="6"/>
  <c r="C23" i="4"/>
  <c r="D5" i="4" s="1"/>
  <c r="D11" i="4" s="1"/>
  <c r="D23" i="4" s="1"/>
  <c r="E5" i="4" s="1"/>
  <c r="E11" i="4" s="1"/>
  <c r="E23" i="4" s="1"/>
  <c r="F5" i="4" s="1"/>
  <c r="B15" i="5"/>
  <c r="L14" i="3"/>
  <c r="C14" i="3"/>
  <c r="D13" i="3" s="1"/>
  <c r="D1" i="3" s="1"/>
  <c r="F13" i="3"/>
  <c r="F1" i="3" s="1"/>
  <c r="D3" i="6"/>
  <c r="C7" i="6"/>
  <c r="D23" i="5"/>
  <c r="J14" i="3" l="1"/>
  <c r="K13" i="3" s="1"/>
  <c r="K1" i="3" s="1"/>
  <c r="M13" i="3"/>
  <c r="M1" i="3" s="1"/>
  <c r="C15" i="5"/>
  <c r="B31" i="5"/>
  <c r="B32" i="5" s="1"/>
  <c r="C4" i="5" s="1"/>
  <c r="C12" i="5" s="1"/>
  <c r="E3" i="6"/>
  <c r="D7" i="6"/>
  <c r="F11" i="4"/>
  <c r="F23" i="4" s="1"/>
  <c r="G5" i="4" s="1"/>
  <c r="D15" i="5" l="1"/>
  <c r="D31" i="5" s="1"/>
  <c r="C31" i="5"/>
  <c r="C32" i="5" s="1"/>
  <c r="D4" i="5" s="1"/>
  <c r="D12" i="5" s="1"/>
  <c r="F3" i="6"/>
  <c r="F7" i="6" s="1"/>
  <c r="E7" i="6"/>
  <c r="G11" i="4"/>
  <c r="G23" i="4" s="1"/>
  <c r="H5" i="4" s="1"/>
  <c r="D32" i="5" l="1"/>
  <c r="H11" i="4"/>
  <c r="H23" i="4" s="1"/>
  <c r="I5" i="4" s="1"/>
  <c r="I11" i="4" l="1"/>
  <c r="I23" i="4" s="1"/>
  <c r="J5" i="4" s="1"/>
  <c r="J11" i="4" l="1"/>
  <c r="J23" i="4" s="1"/>
  <c r="K5" i="4" s="1"/>
  <c r="K11" i="4" l="1"/>
  <c r="K23" i="4" s="1"/>
  <c r="L5" i="4" s="1"/>
  <c r="L11" i="4" l="1"/>
  <c r="L23" i="4" s="1"/>
  <c r="M5" i="4" s="1"/>
  <c r="M11" i="4" l="1"/>
  <c r="M23" i="4" s="1"/>
</calcChain>
</file>

<file path=xl/sharedStrings.xml><?xml version="1.0" encoding="utf-8"?>
<sst xmlns="http://schemas.openxmlformats.org/spreadsheetml/2006/main" count="321" uniqueCount="174">
  <si>
    <t>Şubat</t>
  </si>
  <si>
    <t>Mart</t>
  </si>
  <si>
    <t>Nisan</t>
  </si>
  <si>
    <t>Mayıs</t>
  </si>
  <si>
    <t>Haziran</t>
  </si>
  <si>
    <t>Ağustos</t>
  </si>
  <si>
    <t>Eylül</t>
  </si>
  <si>
    <t>Ekim</t>
  </si>
  <si>
    <t>Kasım</t>
  </si>
  <si>
    <t>Temmuz</t>
  </si>
  <si>
    <t>Toplam</t>
  </si>
  <si>
    <t>Ürün Adı</t>
  </si>
  <si>
    <t>Kış sezonu günlük satış miktarı</t>
  </si>
  <si>
    <t>Yaz sezonu günlük satış miktarı</t>
  </si>
  <si>
    <t>Aralık</t>
  </si>
  <si>
    <t>Ocak</t>
  </si>
  <si>
    <t>Kış sezonu günlük satış cirosu</t>
  </si>
  <si>
    <t>Yaz sezonu günlük satış cirosu</t>
  </si>
  <si>
    <t>1 YILLIK TAHMİNİ SATIŞ PLANI (TL)</t>
  </si>
  <si>
    <t>YATIRIM HARCAMALARI</t>
  </si>
  <si>
    <t>AYLIK</t>
  </si>
  <si>
    <t>YILLIK</t>
  </si>
  <si>
    <t>PERSONEL GİDERİ</t>
  </si>
  <si>
    <t>REKLAM GİDERLERİ</t>
  </si>
  <si>
    <t>HAMMADDE</t>
  </si>
  <si>
    <t>İŞÇİLİK</t>
  </si>
  <si>
    <t>Satış Fiyatı (TL)</t>
  </si>
  <si>
    <t>Kış sezonu günlük maliyet</t>
  </si>
  <si>
    <t>Yaz sezonu günlük maliyet</t>
  </si>
  <si>
    <t>I. NAKİT GİRİŞLERİ</t>
  </si>
  <si>
    <t>Toplam Nakit Girişi</t>
  </si>
  <si>
    <t>II. NAKİT ÇIKIŞLARI</t>
  </si>
  <si>
    <t>SMM 
(Hammadde, işçilik, enerji)</t>
  </si>
  <si>
    <t>Toplam Nakit Çıkışı</t>
  </si>
  <si>
    <t>III. FARK</t>
  </si>
  <si>
    <t>YILLIK NAKİT PROJEKSİYONU</t>
  </si>
  <si>
    <t>YILLAR</t>
  </si>
  <si>
    <t>1.YIL</t>
  </si>
  <si>
    <t>2.YIL</t>
  </si>
  <si>
    <t>3.YIL</t>
  </si>
  <si>
    <t>İşletme Kuruluş Desteği</t>
  </si>
  <si>
    <t>Makine, Teçhizat, Ofis Donanım Desteği</t>
  </si>
  <si>
    <t>İşletme Giderleri Desteği</t>
  </si>
  <si>
    <t>Hammadde</t>
  </si>
  <si>
    <t>Enerji</t>
  </si>
  <si>
    <t>İşçilik</t>
  </si>
  <si>
    <t>OFİS DONANIM GİDERLERİ (TL)</t>
  </si>
  <si>
    <t>Ofis Donanım Giderleri</t>
  </si>
  <si>
    <t>İşletme Kuruluş Giderleri</t>
  </si>
  <si>
    <t>ÜRÜN ADI</t>
  </si>
  <si>
    <t>2. YIL</t>
  </si>
  <si>
    <t>3. YIL</t>
  </si>
  <si>
    <t>4. YIL</t>
  </si>
  <si>
    <t>5. YIL</t>
  </si>
  <si>
    <t>TAHMİNİ SATIŞ PLANI- 5 YILLIK (TL)</t>
  </si>
  <si>
    <t>BAŞABAŞ NOKTASI HESABI</t>
  </si>
  <si>
    <t>Ölçü Birimi</t>
  </si>
  <si>
    <t>ad.</t>
  </si>
  <si>
    <t>m2</t>
  </si>
  <si>
    <t>2012 YILI</t>
  </si>
  <si>
    <t>Aydaki gün sayısı =</t>
  </si>
  <si>
    <t>MAKİNE Ve TEÇHİZAT GİDERLERİ (TL KDV hariç)</t>
  </si>
  <si>
    <t>MAKİNE Ve TEÇHİZAT GİDERLERİ (TL KDV dahil)</t>
  </si>
  <si>
    <t>YATIRIM HARCAMALARI (KDV dahil)</t>
  </si>
  <si>
    <t>YATIRIM HARCAMALARI (KDV hariç)</t>
  </si>
  <si>
    <t>İŞLETME KURULUŞ GİDERLERİ (KDV dahil)</t>
  </si>
  <si>
    <t>İŞLETME KURULUŞ GİDERLERİ (KDV hariç)</t>
  </si>
  <si>
    <t>İş ana sözleşmesinin hazırlanması ve onaylanması</t>
  </si>
  <si>
    <t>İşletme Müdürü imza sirküleri/ imza beyanı</t>
  </si>
  <si>
    <t>Defterlerin tasdik ettirilmesi</t>
  </si>
  <si>
    <t>İşletmenin ticaret/ esnaf sicil kaydının yapılması</t>
  </si>
  <si>
    <t>İşletmenin sicil gazetesinde ilanı</t>
  </si>
  <si>
    <t>Fatura, irsaliye ve gider pusulası belgelerinin basımı ve tasdiki</t>
  </si>
  <si>
    <t>İlgili odalara kayıt yaptırılması</t>
  </si>
  <si>
    <t>İşyeri açma ve çalışma izin ve ruhsatlarının alınması</t>
  </si>
  <si>
    <t>Yazar kasa alımı</t>
  </si>
  <si>
    <t>ENERJİ</t>
  </si>
  <si>
    <t>İŞLETME GİDERLERİ (TL)</t>
  </si>
  <si>
    <t>ISITMA/ ISINMA GİDERİ</t>
  </si>
  <si>
    <t>MUHASEBE GİDERİ</t>
  </si>
  <si>
    <t>TELEFON/ İNTERNET GİDERİ</t>
  </si>
  <si>
    <t>SU GİDERİ</t>
  </si>
  <si>
    <t>KİRA GİDERİ</t>
  </si>
  <si>
    <t>ELEKTRİK GİDERİ</t>
  </si>
  <si>
    <t>DEVREDEN KAR</t>
  </si>
  <si>
    <t>SATIŞ GELİRLERİ</t>
  </si>
  <si>
    <t>AYLAR =</t>
  </si>
  <si>
    <t>AYDAKİ GÜN SAYISI =</t>
  </si>
  <si>
    <t>GİDER TÜRÜ</t>
  </si>
  <si>
    <t>AYLIK TAHMİNİ  TUTAR (TL.-KDV HARİÇ)</t>
  </si>
  <si>
    <t>SABİT GİDERLER (TL KDV dahil)</t>
  </si>
  <si>
    <t>DEĞİŞKEN GİDERLER (TL KDV dahil)</t>
  </si>
  <si>
    <t>SABİT GİDERLER (TL KDV hariç)</t>
  </si>
  <si>
    <t>DEĞİŞKEN GİDERLER (TL KDV hariç)</t>
  </si>
  <si>
    <t>AYLIK TAHMİNİ  TUTARIN (TL.-KDV HARİÇ) % 70 İNİN KÜMÜLATİF TOPLAMI</t>
  </si>
  <si>
    <t>BEDELİ (TL.-KDV HARİÇ)</t>
  </si>
  <si>
    <t>BEDELİNİN (TL.-KDV HARİÇ) % 70 İNİN KÜMÜLATİF TOPLAMI</t>
  </si>
  <si>
    <t>KURULUŞ DÖNEMİ MAKİNE, TEÇHİZAT VE OFİS DONANIM DESTEĞİ:</t>
  </si>
  <si>
    <t>MİKTARI</t>
  </si>
  <si>
    <t>MAKİNE- TEÇHİZATIN YAŞI</t>
  </si>
  <si>
    <t>TAHMİNİ BEDELİ (TL.-KDV HARİÇ)</t>
  </si>
  <si>
    <t>İŞLETME GİDERLERİ DESTEĞİ:</t>
  </si>
  <si>
    <t>İŞLETME KURULUŞ DESTEĞİ:</t>
  </si>
  <si>
    <t>SABİT YATIRIM DESTEĞİ (Geri Ödemeli Destek):</t>
  </si>
  <si>
    <t>ÖZ SERMAYE</t>
  </si>
  <si>
    <t>KOSGEB DESTEĞİ</t>
  </si>
  <si>
    <t>DEĞİŞKEN GİDERLER</t>
  </si>
  <si>
    <t>SABİT GİDERLER</t>
  </si>
  <si>
    <t>Makine/Teçhizat Giderleri</t>
  </si>
  <si>
    <t>Kira gideri</t>
  </si>
  <si>
    <t>Elektrik Gideri</t>
  </si>
  <si>
    <t>Su Gideri</t>
  </si>
  <si>
    <t>Telefon/ İnternet Gideri</t>
  </si>
  <si>
    <t>Personel Gideri</t>
  </si>
  <si>
    <t>Reklam gideri</t>
  </si>
  <si>
    <t>Muhasebe gideri</t>
  </si>
  <si>
    <t>Isıtma/ Isınma Gideri</t>
  </si>
  <si>
    <t>Birim satış fiyatı =A</t>
  </si>
  <si>
    <t>Birim değişken maliyet =B</t>
  </si>
  <si>
    <t>CxD</t>
  </si>
  <si>
    <t>Birim ağırlıklı ortalama katılım  marjini = E</t>
  </si>
  <si>
    <t>Toplam sabit gider miktarı =F</t>
  </si>
  <si>
    <t>Bileşik birim cinsinden başabaş noktası =G = F/E</t>
  </si>
  <si>
    <t>Başabaş noktasına varıldığındaki ürün satış miktarları =H = C*G</t>
  </si>
  <si>
    <t>Başabaş noktasına varıldığındaki ürün satış tutarları (TL) =I = A*H</t>
  </si>
  <si>
    <t>Başabaş hesabında kullanılan teori referansı = www.simplestudies.com</t>
  </si>
  <si>
    <t>14.4 V Şarjlı Matkap</t>
  </si>
  <si>
    <t>Sunta Kesme Makinesi</t>
  </si>
  <si>
    <t>500 lt. Kompresör</t>
  </si>
  <si>
    <t>Tas Menteşe Makinesi</t>
  </si>
  <si>
    <t>Gönye Kesme Makinesi</t>
  </si>
  <si>
    <t>El frezesi</t>
  </si>
  <si>
    <t>Elektrikli titreşim makinesi</t>
  </si>
  <si>
    <t>Darbesiz Matkap</t>
  </si>
  <si>
    <t>2-26 Kırıcı- Delici</t>
  </si>
  <si>
    <t>Avuç taşlama makinesi</t>
  </si>
  <si>
    <t>3200 Çizicili yatar</t>
  </si>
  <si>
    <t>Toz emme ünitesi</t>
  </si>
  <si>
    <t>Ahşap büro takımı</t>
  </si>
  <si>
    <t>Müdür koltuğu</t>
  </si>
  <si>
    <t>Misafir koltuğu (2 adet)</t>
  </si>
  <si>
    <t>Dosya dolabı</t>
  </si>
  <si>
    <t>Kapı</t>
  </si>
  <si>
    <t>Yatak Odası</t>
  </si>
  <si>
    <t>Çocuk Odası</t>
  </si>
  <si>
    <t>İşçilik Maliyeti(TL)</t>
  </si>
  <si>
    <t>Toplam Maliyet (TL)</t>
  </si>
  <si>
    <t>Hammadde Maliyeti(TL)</t>
  </si>
  <si>
    <t>Enerji Maliyeti(TL)</t>
  </si>
  <si>
    <t>1 YILLIK TAHMİNİ TOPLAM MALİYET PLANI (TL)</t>
  </si>
  <si>
    <t>1 YILLIK TAHMİNİ İŞÇİLİK MALİYET PLANI (TL)</t>
  </si>
  <si>
    <t>1 YILLIK TAHMİNİ ENERJİ MALİYET PLANI (TL)</t>
  </si>
  <si>
    <t>1 YILLIK TAHMİNİ HAMMADDE MALİYET PLANI (TL)</t>
  </si>
  <si>
    <t>Baş- son kesmeli bantlama makinesi</t>
  </si>
  <si>
    <t>Kapı kilit kol yeri açma makinesi</t>
  </si>
  <si>
    <t>Sıfır</t>
  </si>
  <si>
    <t xml:space="preserve"> </t>
  </si>
  <si>
    <t>Geri Ödemeli Destek</t>
  </si>
  <si>
    <t>Ürün S.N.</t>
  </si>
  <si>
    <t>Birim katılım marjini = D=A-B</t>
  </si>
  <si>
    <t>Toplam başabaş noktası tutarı (TL) =J =</t>
  </si>
  <si>
    <t>Beyaz arka fon</t>
  </si>
  <si>
    <t>Kırmızı arka fon</t>
  </si>
  <si>
    <t>Bu değerleri Siz gireceksiniz.</t>
  </si>
  <si>
    <t>Bu değerler otomatik olarak hesaplanırlar.</t>
  </si>
  <si>
    <t>1. YIL AYLIK NAKİT PROJEKSİYONU</t>
  </si>
  <si>
    <t>Mutfak/banyo mobilyası</t>
  </si>
  <si>
    <t>Aylık Satılan miktar</t>
  </si>
  <si>
    <t>Yıllık satılan miktar</t>
  </si>
  <si>
    <t>İşletme giderleri desteği aylık 1000 TL olmak üzere yıllık 12000 TL'dir.</t>
  </si>
  <si>
    <t>ÖNEMLİ:</t>
  </si>
  <si>
    <t>KOSGEB desteklerinin hepsi sadece işletmenin açıldığı ilk yıl için bir defaya mahsus olmak üzere verilirler.</t>
  </si>
  <si>
    <t>Kümülatif toplam =</t>
  </si>
  <si>
    <t>1 adet satılan ürün içindeki miktarı =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</si>
</sst>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i/>
      <sz val="11"/>
      <color rgb="FF0070C0"/>
      <name val="Calibri"/>
      <family val="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20"/>
      <name val="Calibri"/>
      <family val="2"/>
      <scheme val="minor"/>
    </font>
    <font>
      <b/>
      <i/>
      <sz val="18"/>
      <color rgb="FFFF000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Border="1" applyAlignment="1">
      <alignment horizontal="center" vertical="center"/>
    </xf>
    <xf numFmtId="4" fontId="0" fillId="0" borderId="0" xfId="0" applyNumberFormat="1" applyBorder="1"/>
    <xf numFmtId="4" fontId="5" fillId="0" borderId="0" xfId="0" applyNumberFormat="1" applyFont="1" applyBorder="1" applyAlignment="1">
      <alignment horizontal="right" vertical="center"/>
    </xf>
    <xf numFmtId="0" fontId="0" fillId="0" borderId="0" xfId="0" applyFill="1" applyBorder="1"/>
    <xf numFmtId="4" fontId="0" fillId="0" borderId="1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right" vertical="center"/>
    </xf>
    <xf numFmtId="0" fontId="0" fillId="0" borderId="3" xfId="0" applyFill="1" applyBorder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/>
    <xf numFmtId="0" fontId="3" fillId="2" borderId="1" xfId="0" applyFont="1" applyFill="1" applyBorder="1"/>
    <xf numFmtId="4" fontId="0" fillId="2" borderId="1" xfId="0" applyNumberFormat="1" applyFill="1" applyBorder="1" applyAlignment="1">
      <alignment horizontal="right" vertical="center"/>
    </xf>
    <xf numFmtId="4" fontId="0" fillId="0" borderId="1" xfId="0" applyNumberFormat="1" applyFill="1" applyBorder="1"/>
    <xf numFmtId="10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/>
    <xf numFmtId="4" fontId="4" fillId="2" borderId="0" xfId="0" applyNumberFormat="1" applyFont="1" applyFill="1" applyBorder="1" applyAlignment="1">
      <alignment vertical="center"/>
    </xf>
    <xf numFmtId="4" fontId="5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4" fontId="0" fillId="2" borderId="0" xfId="0" applyNumberFormat="1" applyFill="1" applyBorder="1"/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center" wrapText="1"/>
    </xf>
    <xf numFmtId="4" fontId="0" fillId="0" borderId="0" xfId="0" applyNumberForma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left" vertical="center" wrapText="1"/>
    </xf>
    <xf numFmtId="4" fontId="0" fillId="2" borderId="0" xfId="0" applyNumberForma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4" fontId="9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1" fillId="2" borderId="1" xfId="0" applyFont="1" applyFill="1" applyBorder="1"/>
    <xf numFmtId="0" fontId="0" fillId="2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right" vertical="center"/>
    </xf>
    <xf numFmtId="0" fontId="11" fillId="2" borderId="1" xfId="0" applyFont="1" applyFill="1" applyBorder="1" applyAlignment="1">
      <alignment wrapText="1"/>
    </xf>
    <xf numFmtId="4" fontId="0" fillId="2" borderId="1" xfId="0" applyNumberFormat="1" applyFill="1" applyBorder="1" applyAlignment="1">
      <alignment vertical="center"/>
    </xf>
    <xf numFmtId="0" fontId="11" fillId="2" borderId="4" xfId="0" applyFont="1" applyFill="1" applyBorder="1"/>
    <xf numFmtId="4" fontId="15" fillId="2" borderId="1" xfId="0" applyNumberFormat="1" applyFont="1" applyFill="1" applyBorder="1" applyAlignment="1">
      <alignment horizontal="right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9"/>
  <sheetViews>
    <sheetView zoomScale="120" zoomScaleNormal="120" zoomScaleSheetLayoutView="160" workbookViewId="0">
      <pane ySplit="1" topLeftCell="A2" activePane="bottomLeft" state="frozenSplit"/>
      <selection pane="bottomLeft" activeCell="G2" sqref="G2"/>
    </sheetView>
  </sheetViews>
  <sheetFormatPr defaultRowHeight="15" x14ac:dyDescent="0.25"/>
  <cols>
    <col min="1" max="1" width="22.85546875" bestFit="1" customWidth="1"/>
    <col min="2" max="2" width="6.28515625" bestFit="1" customWidth="1"/>
    <col min="3" max="3" width="11.42578125" customWidth="1"/>
    <col min="4" max="4" width="8.7109375" customWidth="1"/>
    <col min="5" max="5" width="9.42578125" customWidth="1"/>
    <col min="6" max="6" width="8.7109375" bestFit="1" customWidth="1"/>
    <col min="7" max="7" width="10.140625" bestFit="1" customWidth="1"/>
    <col min="8" max="9" width="11.28515625" bestFit="1" customWidth="1"/>
    <col min="10" max="11" width="11.28515625" customWidth="1"/>
    <col min="12" max="12" width="10.140625" bestFit="1" customWidth="1"/>
    <col min="13" max="13" width="10.5703125" bestFit="1" customWidth="1"/>
    <col min="14" max="15" width="11.28515625" bestFit="1" customWidth="1"/>
    <col min="16" max="16" width="11" customWidth="1"/>
    <col min="17" max="17" width="10.85546875" customWidth="1"/>
    <col min="22" max="22" width="10.140625" bestFit="1" customWidth="1"/>
  </cols>
  <sheetData>
    <row r="1" spans="1:15" s="2" customFormat="1" ht="45" x14ac:dyDescent="0.25">
      <c r="A1" s="30" t="s">
        <v>11</v>
      </c>
      <c r="B1" s="31" t="s">
        <v>56</v>
      </c>
      <c r="C1" s="31" t="s">
        <v>147</v>
      </c>
      <c r="D1" s="31" t="s">
        <v>145</v>
      </c>
      <c r="E1" s="31" t="s">
        <v>148</v>
      </c>
      <c r="F1" s="31" t="s">
        <v>146</v>
      </c>
      <c r="G1" s="31" t="s">
        <v>26</v>
      </c>
      <c r="H1" s="31" t="s">
        <v>12</v>
      </c>
      <c r="I1" s="31" t="s">
        <v>13</v>
      </c>
      <c r="J1" s="31" t="s">
        <v>167</v>
      </c>
      <c r="K1" s="31" t="s">
        <v>168</v>
      </c>
      <c r="L1" s="31" t="s">
        <v>27</v>
      </c>
      <c r="M1" s="31" t="s">
        <v>28</v>
      </c>
      <c r="N1" s="31" t="s">
        <v>16</v>
      </c>
      <c r="O1" s="31" t="s">
        <v>17</v>
      </c>
    </row>
    <row r="2" spans="1:15" x14ac:dyDescent="0.25">
      <c r="A2" s="1" t="s">
        <v>142</v>
      </c>
      <c r="B2" s="16" t="s">
        <v>57</v>
      </c>
      <c r="C2" s="3">
        <v>170</v>
      </c>
      <c r="D2" s="3">
        <v>25</v>
      </c>
      <c r="E2" s="3">
        <v>5</v>
      </c>
      <c r="F2" s="37">
        <f>C2+D2+E2</f>
        <v>200</v>
      </c>
      <c r="G2" s="3">
        <v>300</v>
      </c>
      <c r="H2" s="3">
        <v>0.5</v>
      </c>
      <c r="I2" s="3">
        <v>0.5</v>
      </c>
      <c r="J2" s="37">
        <f>(H2+I2)/2*30</f>
        <v>15</v>
      </c>
      <c r="K2" s="36">
        <f>J2*12</f>
        <v>180</v>
      </c>
      <c r="L2" s="37">
        <f>F2*H2</f>
        <v>100</v>
      </c>
      <c r="M2" s="37">
        <f t="shared" ref="M2:M5" si="0">F2*I2</f>
        <v>100</v>
      </c>
      <c r="N2" s="37">
        <f>G2*H2</f>
        <v>150</v>
      </c>
      <c r="O2" s="37">
        <f>G2*I2</f>
        <v>150</v>
      </c>
    </row>
    <row r="3" spans="1:15" x14ac:dyDescent="0.25">
      <c r="A3" s="1" t="s">
        <v>166</v>
      </c>
      <c r="B3" s="16" t="s">
        <v>58</v>
      </c>
      <c r="C3" s="3">
        <v>250</v>
      </c>
      <c r="D3" s="3">
        <v>60</v>
      </c>
      <c r="E3" s="3">
        <v>10</v>
      </c>
      <c r="F3" s="37">
        <f t="shared" ref="F3:F5" si="1">C3+D3+E3</f>
        <v>320</v>
      </c>
      <c r="G3" s="3">
        <v>400</v>
      </c>
      <c r="H3" s="3">
        <v>1</v>
      </c>
      <c r="I3" s="3">
        <v>1</v>
      </c>
      <c r="J3" s="37">
        <f t="shared" ref="J3:J5" si="2">(H3+I3)/2*30</f>
        <v>30</v>
      </c>
      <c r="K3" s="36">
        <f t="shared" ref="K3:K5" si="3">J3*12</f>
        <v>360</v>
      </c>
      <c r="L3" s="37">
        <f t="shared" ref="L3:L5" si="4">F3*H3</f>
        <v>320</v>
      </c>
      <c r="M3" s="37">
        <f t="shared" si="0"/>
        <v>320</v>
      </c>
      <c r="N3" s="37">
        <f t="shared" ref="N3:N5" si="5">G3*H3</f>
        <v>400</v>
      </c>
      <c r="O3" s="37">
        <f t="shared" ref="O3:O5" si="6">G3*I3</f>
        <v>400</v>
      </c>
    </row>
    <row r="4" spans="1:15" x14ac:dyDescent="0.25">
      <c r="A4" s="1" t="s">
        <v>143</v>
      </c>
      <c r="B4" s="16" t="s">
        <v>57</v>
      </c>
      <c r="C4" s="3">
        <v>1600</v>
      </c>
      <c r="D4" s="3">
        <v>550</v>
      </c>
      <c r="E4" s="3">
        <v>50</v>
      </c>
      <c r="F4" s="37">
        <f t="shared" si="1"/>
        <v>2200</v>
      </c>
      <c r="G4" s="3">
        <v>2500</v>
      </c>
      <c r="H4" s="28">
        <f>6/365</f>
        <v>1.643835616438356E-2</v>
      </c>
      <c r="I4" s="28">
        <f>6/365</f>
        <v>1.643835616438356E-2</v>
      </c>
      <c r="J4" s="37">
        <f t="shared" si="2"/>
        <v>0.49315068493150682</v>
      </c>
      <c r="K4" s="36">
        <f t="shared" si="3"/>
        <v>5.9178082191780819</v>
      </c>
      <c r="L4" s="37">
        <f t="shared" si="4"/>
        <v>36.164383561643831</v>
      </c>
      <c r="M4" s="37">
        <f t="shared" si="0"/>
        <v>36.164383561643831</v>
      </c>
      <c r="N4" s="37">
        <f t="shared" si="5"/>
        <v>41.095890410958901</v>
      </c>
      <c r="O4" s="37">
        <f t="shared" si="6"/>
        <v>41.095890410958901</v>
      </c>
    </row>
    <row r="5" spans="1:15" x14ac:dyDescent="0.25">
      <c r="A5" s="1" t="s">
        <v>144</v>
      </c>
      <c r="B5" s="16" t="s">
        <v>57</v>
      </c>
      <c r="C5" s="3">
        <v>1000</v>
      </c>
      <c r="D5" s="3">
        <v>220</v>
      </c>
      <c r="E5" s="3">
        <v>30</v>
      </c>
      <c r="F5" s="37">
        <f t="shared" si="1"/>
        <v>1250</v>
      </c>
      <c r="G5" s="3">
        <v>1500</v>
      </c>
      <c r="H5" s="28">
        <f>2/365</f>
        <v>5.4794520547945206E-3</v>
      </c>
      <c r="I5" s="28">
        <f>2/365</f>
        <v>5.4794520547945206E-3</v>
      </c>
      <c r="J5" s="37">
        <f t="shared" si="2"/>
        <v>0.16438356164383561</v>
      </c>
      <c r="K5" s="36">
        <f t="shared" si="3"/>
        <v>1.9726027397260273</v>
      </c>
      <c r="L5" s="37">
        <f t="shared" si="4"/>
        <v>6.8493150684931505</v>
      </c>
      <c r="M5" s="37">
        <f t="shared" si="0"/>
        <v>6.8493150684931505</v>
      </c>
      <c r="N5" s="37">
        <f t="shared" si="5"/>
        <v>8.2191780821917817</v>
      </c>
      <c r="O5" s="37">
        <f t="shared" si="6"/>
        <v>8.2191780821917817</v>
      </c>
    </row>
    <row r="8" spans="1:15" x14ac:dyDescent="0.25">
      <c r="A8" s="89" t="s">
        <v>161</v>
      </c>
      <c r="B8" s="89"/>
      <c r="C8" s="91" t="s">
        <v>163</v>
      </c>
      <c r="D8" s="91"/>
      <c r="E8" s="91"/>
      <c r="F8" s="91"/>
    </row>
    <row r="9" spans="1:15" x14ac:dyDescent="0.25">
      <c r="A9" s="90" t="s">
        <v>162</v>
      </c>
      <c r="B9" s="90"/>
      <c r="C9" s="91" t="s">
        <v>164</v>
      </c>
      <c r="D9" s="91"/>
      <c r="E9" s="91"/>
      <c r="F9" s="91"/>
    </row>
  </sheetData>
  <mergeCells count="4">
    <mergeCell ref="A8:B8"/>
    <mergeCell ref="A9:B9"/>
    <mergeCell ref="C8:F8"/>
    <mergeCell ref="C9:F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2"/>
  <sheetViews>
    <sheetView zoomScale="110" zoomScaleNormal="110" workbookViewId="0">
      <selection activeCell="I28" sqref="I28"/>
    </sheetView>
  </sheetViews>
  <sheetFormatPr defaultRowHeight="15" x14ac:dyDescent="0.25"/>
  <cols>
    <col min="1" max="1" width="25.28515625" bestFit="1" customWidth="1"/>
    <col min="2" max="2" width="12.42578125" bestFit="1" customWidth="1"/>
    <col min="3" max="3" width="12.42578125" customWidth="1"/>
    <col min="4" max="4" width="12.42578125" bestFit="1" customWidth="1"/>
    <col min="8" max="8" width="10.140625" bestFit="1" customWidth="1"/>
  </cols>
  <sheetData>
    <row r="1" spans="1:9" ht="18.75" x14ac:dyDescent="0.3">
      <c r="A1" s="114" t="s">
        <v>35</v>
      </c>
      <c r="B1" s="114"/>
      <c r="C1" s="114"/>
      <c r="D1" s="114"/>
    </row>
    <row r="2" spans="1:9" x14ac:dyDescent="0.25">
      <c r="A2" s="35" t="s">
        <v>36</v>
      </c>
      <c r="B2" s="39" t="s">
        <v>37</v>
      </c>
      <c r="C2" s="39" t="s">
        <v>38</v>
      </c>
      <c r="D2" s="39" t="s">
        <v>39</v>
      </c>
    </row>
    <row r="3" spans="1:9" ht="23.25" x14ac:dyDescent="0.35">
      <c r="A3" s="108" t="s">
        <v>29</v>
      </c>
      <c r="B3" s="109"/>
      <c r="C3" s="109"/>
      <c r="D3" s="110"/>
      <c r="F3" s="86" t="s">
        <v>170</v>
      </c>
    </row>
    <row r="4" spans="1:9" ht="23.25" x14ac:dyDescent="0.35">
      <c r="A4" s="35" t="s">
        <v>84</v>
      </c>
      <c r="B4" s="25"/>
      <c r="C4" s="37">
        <f>B32</f>
        <v>18793.799999999988</v>
      </c>
      <c r="D4" s="37">
        <f>C32</f>
        <v>52926.800000000017</v>
      </c>
      <c r="F4" s="87" t="s">
        <v>171</v>
      </c>
    </row>
    <row r="5" spans="1:9" x14ac:dyDescent="0.25">
      <c r="A5" s="35" t="s">
        <v>104</v>
      </c>
      <c r="B5" s="80">
        <v>15000</v>
      </c>
      <c r="C5" s="37"/>
      <c r="D5" s="37"/>
    </row>
    <row r="6" spans="1:9" x14ac:dyDescent="0.25">
      <c r="A6" s="111" t="s">
        <v>105</v>
      </c>
      <c r="B6" s="112"/>
      <c r="C6" s="112"/>
      <c r="D6" s="113"/>
    </row>
    <row r="7" spans="1:9" x14ac:dyDescent="0.25">
      <c r="A7" s="78" t="s">
        <v>40</v>
      </c>
      <c r="B7" s="80">
        <v>683.2</v>
      </c>
      <c r="C7" s="37"/>
      <c r="D7" s="37"/>
    </row>
    <row r="8" spans="1:9" ht="30" x14ac:dyDescent="0.25">
      <c r="A8" s="81" t="s">
        <v>41</v>
      </c>
      <c r="B8" s="80">
        <v>15000</v>
      </c>
      <c r="C8" s="37"/>
      <c r="D8" s="37"/>
    </row>
    <row r="9" spans="1:9" x14ac:dyDescent="0.25">
      <c r="A9" s="78" t="s">
        <v>42</v>
      </c>
      <c r="B9" s="80">
        <v>12000</v>
      </c>
      <c r="C9" s="37"/>
      <c r="D9" s="37"/>
    </row>
    <row r="10" spans="1:9" x14ac:dyDescent="0.25">
      <c r="A10" s="78" t="s">
        <v>157</v>
      </c>
      <c r="B10" s="80">
        <v>41790</v>
      </c>
      <c r="C10" s="37"/>
      <c r="D10" s="37"/>
    </row>
    <row r="11" spans="1:9" x14ac:dyDescent="0.25">
      <c r="A11" s="77" t="s">
        <v>85</v>
      </c>
      <c r="B11" s="25">
        <f>YillikSatisTahmini!N10</f>
        <v>218750</v>
      </c>
      <c r="C11" s="37">
        <f>B11*1.1</f>
        <v>240625.00000000003</v>
      </c>
      <c r="D11" s="37">
        <f>C11*1.1</f>
        <v>264687.50000000006</v>
      </c>
      <c r="I11" s="9"/>
    </row>
    <row r="12" spans="1:9" ht="15.75" customHeight="1" x14ac:dyDescent="0.25">
      <c r="A12" s="38" t="s">
        <v>30</v>
      </c>
      <c r="B12" s="25">
        <f>SUM(B4:B11)</f>
        <v>303223.2</v>
      </c>
      <c r="C12" s="25">
        <f t="shared" ref="C12:D12" si="0">SUM(C4:C11)</f>
        <v>259418.80000000002</v>
      </c>
      <c r="D12" s="25">
        <f t="shared" si="0"/>
        <v>317614.30000000005</v>
      </c>
    </row>
    <row r="13" spans="1:9" x14ac:dyDescent="0.25">
      <c r="A13" s="108" t="s">
        <v>31</v>
      </c>
      <c r="B13" s="109"/>
      <c r="C13" s="109"/>
      <c r="D13" s="110"/>
    </row>
    <row r="14" spans="1:9" x14ac:dyDescent="0.25">
      <c r="A14" s="108" t="s">
        <v>106</v>
      </c>
      <c r="B14" s="109"/>
      <c r="C14" s="109"/>
      <c r="D14" s="110"/>
    </row>
    <row r="15" spans="1:9" x14ac:dyDescent="0.25">
      <c r="A15" s="78" t="s">
        <v>43</v>
      </c>
      <c r="B15" s="82">
        <f>IsletmeGiderleri!E14</f>
        <v>133875</v>
      </c>
      <c r="C15" s="82">
        <f>B15*1.1</f>
        <v>147262.5</v>
      </c>
      <c r="D15" s="82">
        <f>C15*1.1</f>
        <v>161988.75</v>
      </c>
    </row>
    <row r="16" spans="1:9" x14ac:dyDescent="0.25">
      <c r="A16" s="78" t="s">
        <v>45</v>
      </c>
      <c r="B16" s="82">
        <f>IsletmeGiderleri!E15</f>
        <v>30202.5</v>
      </c>
      <c r="C16" s="82">
        <f t="shared" ref="C16:D17" si="1">B16*1.1</f>
        <v>33222.75</v>
      </c>
      <c r="D16" s="82">
        <f t="shared" si="1"/>
        <v>36545.025000000001</v>
      </c>
    </row>
    <row r="17" spans="1:8" x14ac:dyDescent="0.25">
      <c r="A17" s="78" t="s">
        <v>44</v>
      </c>
      <c r="B17" s="82">
        <f>IsletmeGiderleri!E16</f>
        <v>4922.5</v>
      </c>
      <c r="C17" s="82">
        <f t="shared" si="1"/>
        <v>5414.75</v>
      </c>
      <c r="D17" s="82">
        <f t="shared" si="1"/>
        <v>5956.2250000000004</v>
      </c>
    </row>
    <row r="18" spans="1:8" x14ac:dyDescent="0.25">
      <c r="A18" s="108" t="s">
        <v>107</v>
      </c>
      <c r="B18" s="109"/>
      <c r="C18" s="109"/>
      <c r="D18" s="110"/>
    </row>
    <row r="19" spans="1:8" x14ac:dyDescent="0.25">
      <c r="A19" s="78" t="s">
        <v>109</v>
      </c>
      <c r="B19" s="25">
        <f>IsletmeGiderleri!E4</f>
        <v>2400</v>
      </c>
      <c r="C19" s="37">
        <f>B19*1.1</f>
        <v>2640</v>
      </c>
      <c r="D19" s="37">
        <f>C19*1.1</f>
        <v>2904.0000000000005</v>
      </c>
    </row>
    <row r="20" spans="1:8" x14ac:dyDescent="0.25">
      <c r="A20" s="78" t="s">
        <v>110</v>
      </c>
      <c r="B20" s="25">
        <f>IsletmeGiderleri!E5</f>
        <v>960</v>
      </c>
      <c r="C20" s="37">
        <f t="shared" ref="C20:D25" si="2">B20*1.1</f>
        <v>1056</v>
      </c>
      <c r="D20" s="37">
        <f t="shared" si="2"/>
        <v>1161.6000000000001</v>
      </c>
    </row>
    <row r="21" spans="1:8" x14ac:dyDescent="0.25">
      <c r="A21" s="78" t="s">
        <v>111</v>
      </c>
      <c r="B21" s="25">
        <f>IsletmeGiderleri!E6</f>
        <v>360</v>
      </c>
      <c r="C21" s="37">
        <f t="shared" si="2"/>
        <v>396.00000000000006</v>
      </c>
      <c r="D21" s="37">
        <f t="shared" si="2"/>
        <v>435.60000000000008</v>
      </c>
    </row>
    <row r="22" spans="1:8" x14ac:dyDescent="0.25">
      <c r="A22" s="78" t="s">
        <v>112</v>
      </c>
      <c r="B22" s="25">
        <f>IsletmeGiderleri!E7</f>
        <v>1200</v>
      </c>
      <c r="C22" s="37">
        <f t="shared" si="2"/>
        <v>1320</v>
      </c>
      <c r="D22" s="37">
        <f t="shared" si="2"/>
        <v>1452.0000000000002</v>
      </c>
    </row>
    <row r="23" spans="1:8" x14ac:dyDescent="0.25">
      <c r="A23" s="78" t="s">
        <v>113</v>
      </c>
      <c r="B23" s="25">
        <f>IsletmeGiderleri!E8</f>
        <v>9000</v>
      </c>
      <c r="C23" s="37">
        <f t="shared" si="2"/>
        <v>9900</v>
      </c>
      <c r="D23" s="37">
        <f t="shared" si="2"/>
        <v>10890</v>
      </c>
    </row>
    <row r="24" spans="1:8" x14ac:dyDescent="0.25">
      <c r="A24" s="78" t="s">
        <v>114</v>
      </c>
      <c r="B24" s="25">
        <f>IsletmeGiderleri!E9</f>
        <v>3600</v>
      </c>
      <c r="C24" s="37">
        <f t="shared" si="2"/>
        <v>3960.0000000000005</v>
      </c>
      <c r="D24" s="37">
        <f t="shared" si="2"/>
        <v>4356.0000000000009</v>
      </c>
    </row>
    <row r="25" spans="1:8" x14ac:dyDescent="0.25">
      <c r="A25" s="78" t="s">
        <v>115</v>
      </c>
      <c r="B25" s="25">
        <f>IsletmeGiderleri!E10</f>
        <v>1200</v>
      </c>
      <c r="C25" s="37">
        <f t="shared" si="2"/>
        <v>1320</v>
      </c>
      <c r="D25" s="37">
        <f t="shared" si="2"/>
        <v>1452.0000000000002</v>
      </c>
    </row>
    <row r="26" spans="1:8" x14ac:dyDescent="0.25">
      <c r="A26" s="83" t="s">
        <v>116</v>
      </c>
      <c r="B26" s="25">
        <f>IsletmeGiderleri!E11</f>
        <v>0</v>
      </c>
      <c r="C26" s="37">
        <f t="shared" ref="C26" si="3">B26*1.1</f>
        <v>0</v>
      </c>
      <c r="D26" s="37">
        <f t="shared" ref="D26" si="4">C26*1.1</f>
        <v>0</v>
      </c>
      <c r="H26" s="9"/>
    </row>
    <row r="27" spans="1:8" x14ac:dyDescent="0.25">
      <c r="A27" s="108" t="s">
        <v>19</v>
      </c>
      <c r="B27" s="109"/>
      <c r="C27" s="109"/>
      <c r="D27" s="110"/>
    </row>
    <row r="28" spans="1:8" x14ac:dyDescent="0.25">
      <c r="A28" s="81" t="s">
        <v>48</v>
      </c>
      <c r="B28" s="84">
        <f>DuranVarlik!D25</f>
        <v>976</v>
      </c>
      <c r="C28" s="37"/>
      <c r="D28" s="37"/>
      <c r="H28" s="9"/>
    </row>
    <row r="29" spans="1:8" x14ac:dyDescent="0.25">
      <c r="A29" s="78" t="s">
        <v>47</v>
      </c>
      <c r="B29" s="25">
        <f>DuranVarlik!D19</f>
        <v>3481</v>
      </c>
      <c r="C29" s="37"/>
      <c r="D29" s="37"/>
    </row>
    <row r="30" spans="1:8" x14ac:dyDescent="0.25">
      <c r="A30" s="81" t="s">
        <v>108</v>
      </c>
      <c r="B30" s="25">
        <f>DuranVarlik!D3</f>
        <v>92252.4</v>
      </c>
      <c r="C30" s="37"/>
      <c r="D30" s="37"/>
    </row>
    <row r="31" spans="1:8" x14ac:dyDescent="0.25">
      <c r="A31" s="38" t="s">
        <v>33</v>
      </c>
      <c r="B31" s="25">
        <f>SUM(B15:B17,B19:B26,B28:B30)</f>
        <v>284429.40000000002</v>
      </c>
      <c r="C31" s="37">
        <f>SUM(C15:C17,C19:C26)</f>
        <v>206492</v>
      </c>
      <c r="D31" s="37">
        <f>SUM(D15:D17,D19:D26)</f>
        <v>227141.2</v>
      </c>
    </row>
    <row r="32" spans="1:8" x14ac:dyDescent="0.25">
      <c r="A32" s="24" t="s">
        <v>34</v>
      </c>
      <c r="B32" s="25">
        <f>B12-B31</f>
        <v>18793.799999999988</v>
      </c>
      <c r="C32" s="25">
        <f t="shared" ref="C32:D32" si="5">C12-C31</f>
        <v>52926.800000000017</v>
      </c>
      <c r="D32" s="25">
        <f t="shared" si="5"/>
        <v>90473.100000000035</v>
      </c>
    </row>
  </sheetData>
  <mergeCells count="7">
    <mergeCell ref="A18:D18"/>
    <mergeCell ref="A27:D27"/>
    <mergeCell ref="A14:D14"/>
    <mergeCell ref="A1:D1"/>
    <mergeCell ref="A3:D3"/>
    <mergeCell ref="A13:D13"/>
    <mergeCell ref="A6:D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"/>
  <sheetViews>
    <sheetView tabSelected="1" zoomScale="130" zoomScaleNormal="130" workbookViewId="0">
      <selection activeCell="F14" sqref="F14"/>
    </sheetView>
  </sheetViews>
  <sheetFormatPr defaultRowHeight="15" x14ac:dyDescent="0.25"/>
  <cols>
    <col min="1" max="1" width="10.85546875" bestFit="1" customWidth="1"/>
    <col min="2" max="2" width="11.7109375" bestFit="1" customWidth="1"/>
    <col min="3" max="3" width="10.28515625" customWidth="1"/>
    <col min="4" max="4" width="13.85546875" customWidth="1"/>
    <col min="5" max="5" width="16.140625" customWidth="1"/>
    <col min="6" max="6" width="15.28515625" customWidth="1"/>
    <col min="8" max="8" width="16.28515625" customWidth="1"/>
    <col min="9" max="9" width="13.5703125" customWidth="1"/>
    <col min="10" max="10" width="19.5703125" customWidth="1"/>
    <col min="11" max="11" width="26.85546875" customWidth="1"/>
    <col min="12" max="12" width="24" customWidth="1"/>
  </cols>
  <sheetData>
    <row r="1" spans="1:12" ht="24" customHeight="1" x14ac:dyDescent="0.25">
      <c r="A1" s="119" t="s">
        <v>55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45" x14ac:dyDescent="0.25">
      <c r="A2" s="68" t="s">
        <v>158</v>
      </c>
      <c r="B2" s="69" t="str">
        <f>DonenVarlik!A1</f>
        <v>Ürün Adı</v>
      </c>
      <c r="C2" s="70" t="s">
        <v>117</v>
      </c>
      <c r="D2" s="70" t="s">
        <v>118</v>
      </c>
      <c r="E2" s="71" t="s">
        <v>173</v>
      </c>
      <c r="F2" s="70" t="s">
        <v>159</v>
      </c>
      <c r="G2" s="69" t="s">
        <v>119</v>
      </c>
      <c r="H2" s="70" t="s">
        <v>120</v>
      </c>
      <c r="I2" s="70" t="s">
        <v>121</v>
      </c>
      <c r="J2" s="70" t="s">
        <v>122</v>
      </c>
      <c r="K2" s="70" t="s">
        <v>123</v>
      </c>
      <c r="L2" s="70" t="s">
        <v>124</v>
      </c>
    </row>
    <row r="3" spans="1:12" x14ac:dyDescent="0.25">
      <c r="A3" s="72">
        <v>1</v>
      </c>
      <c r="B3" s="73" t="str">
        <f>DonenVarlik!A2</f>
        <v>Kapı</v>
      </c>
      <c r="C3" s="74">
        <f>DonenVarlik!G2</f>
        <v>300</v>
      </c>
      <c r="D3" s="74">
        <f>DonenVarlik!F2</f>
        <v>200</v>
      </c>
      <c r="E3" s="75">
        <f>SUM(DonenVarlik!H2:I2)/SUM(DonenVarlik!$H$2:$I$5)</f>
        <v>0.32853285328532844</v>
      </c>
      <c r="F3" s="74">
        <f>C3-D3</f>
        <v>100</v>
      </c>
      <c r="G3" s="75">
        <f>E3*F3</f>
        <v>32.853285328532841</v>
      </c>
      <c r="H3" s="116">
        <f>SUM(G3:G6)</f>
        <v>89.558955895589534</v>
      </c>
      <c r="I3" s="118">
        <f>IsletmeGiderleri!F3</f>
        <v>18720</v>
      </c>
      <c r="J3" s="116">
        <f>I3/H3</f>
        <v>209.02432160804025</v>
      </c>
      <c r="K3" s="75">
        <f>E3*$J$3</f>
        <v>68.671356783919592</v>
      </c>
      <c r="L3" s="74">
        <f>C3*K3</f>
        <v>20601.407035175878</v>
      </c>
    </row>
    <row r="4" spans="1:12" ht="45" x14ac:dyDescent="0.25">
      <c r="A4" s="72">
        <v>2</v>
      </c>
      <c r="B4" s="88" t="str">
        <f>DonenVarlik!A3</f>
        <v>Mutfak/banyo mobilyası</v>
      </c>
      <c r="C4" s="74">
        <f>DonenVarlik!G3</f>
        <v>400</v>
      </c>
      <c r="D4" s="74">
        <f>DonenVarlik!F3</f>
        <v>320</v>
      </c>
      <c r="E4" s="85">
        <f>SUM(DonenVarlik!H3:I3)/SUM(DonenVarlik!$H$2:$I$5)</f>
        <v>0.65706570657065688</v>
      </c>
      <c r="F4" s="74">
        <f t="shared" ref="F4:F6" si="0">C4-D4</f>
        <v>80</v>
      </c>
      <c r="G4" s="85">
        <f t="shared" ref="G4:G6" si="1">E4*F4</f>
        <v>52.565256525652551</v>
      </c>
      <c r="H4" s="117"/>
      <c r="I4" s="118"/>
      <c r="J4" s="116"/>
      <c r="K4" s="85">
        <f t="shared" ref="K4:K6" si="2">E4*$J$3</f>
        <v>137.34271356783918</v>
      </c>
      <c r="L4" s="74">
        <f t="shared" ref="L4:L6" si="3">C4*K4</f>
        <v>54937.085427135673</v>
      </c>
    </row>
    <row r="5" spans="1:12" x14ac:dyDescent="0.25">
      <c r="A5" s="72">
        <v>3</v>
      </c>
      <c r="B5" s="73" t="str">
        <f>DonenVarlik!A4</f>
        <v>Yatak Odası</v>
      </c>
      <c r="C5" s="74">
        <f>DonenVarlik!G4</f>
        <v>2500</v>
      </c>
      <c r="D5" s="74">
        <f>DonenVarlik!F4</f>
        <v>2200</v>
      </c>
      <c r="E5" s="85">
        <f>SUM(DonenVarlik!H4:I4)/SUM(DonenVarlik!$H$2:$I$5)</f>
        <v>1.0801080108010798E-2</v>
      </c>
      <c r="F5" s="74">
        <f t="shared" si="0"/>
        <v>300</v>
      </c>
      <c r="G5" s="85">
        <f t="shared" si="1"/>
        <v>3.2403240324032394</v>
      </c>
      <c r="H5" s="117"/>
      <c r="I5" s="118"/>
      <c r="J5" s="116"/>
      <c r="K5" s="85">
        <f t="shared" si="2"/>
        <v>2.2576884422110552</v>
      </c>
      <c r="L5" s="74">
        <f t="shared" si="3"/>
        <v>5644.2211055276384</v>
      </c>
    </row>
    <row r="6" spans="1:12" x14ac:dyDescent="0.25">
      <c r="A6" s="72">
        <v>4</v>
      </c>
      <c r="B6" s="73" t="str">
        <f>DonenVarlik!A5</f>
        <v>Çocuk Odası</v>
      </c>
      <c r="C6" s="74">
        <f>DonenVarlik!G5</f>
        <v>1500</v>
      </c>
      <c r="D6" s="74">
        <f>DonenVarlik!F5</f>
        <v>1250</v>
      </c>
      <c r="E6" s="85">
        <f>SUM(DonenVarlik!H5:I5)/SUM(DonenVarlik!$H$2:$I$5)</f>
        <v>3.6003600360035993E-3</v>
      </c>
      <c r="F6" s="74">
        <f t="shared" si="0"/>
        <v>250</v>
      </c>
      <c r="G6" s="85">
        <f t="shared" si="1"/>
        <v>0.90009000900089986</v>
      </c>
      <c r="H6" s="117"/>
      <c r="I6" s="118"/>
      <c r="J6" s="116"/>
      <c r="K6" s="85">
        <f t="shared" si="2"/>
        <v>0.75256281407035175</v>
      </c>
      <c r="L6" s="74">
        <f t="shared" si="3"/>
        <v>1128.8442211055276</v>
      </c>
    </row>
    <row r="7" spans="1:12" ht="18.75" x14ac:dyDescent="0.25">
      <c r="A7" s="120" t="s">
        <v>160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76">
        <f>SUM(L3:L6)</f>
        <v>82311.557788944716</v>
      </c>
    </row>
    <row r="8" spans="1:12" x14ac:dyDescent="0.25">
      <c r="A8" s="115" t="s">
        <v>125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</sheetData>
  <mergeCells count="6">
    <mergeCell ref="A8:L8"/>
    <mergeCell ref="H3:H6"/>
    <mergeCell ref="I3:I6"/>
    <mergeCell ref="J3:J6"/>
    <mergeCell ref="A1:L1"/>
    <mergeCell ref="A7:K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4"/>
  <sheetViews>
    <sheetView zoomScaleNormal="100" workbookViewId="0">
      <selection activeCell="N34" sqref="N34"/>
    </sheetView>
  </sheetViews>
  <sheetFormatPr defaultRowHeight="15" x14ac:dyDescent="0.25"/>
  <cols>
    <col min="1" max="1" width="17.42578125" bestFit="1" customWidth="1"/>
    <col min="2" max="2" width="9.85546875" bestFit="1" customWidth="1"/>
    <col min="3" max="6" width="11.28515625" bestFit="1" customWidth="1"/>
    <col min="7" max="7" width="14.5703125" customWidth="1"/>
    <col min="8" max="8" width="11" customWidth="1"/>
    <col min="9" max="13" width="9.85546875" bestFit="1" customWidth="1"/>
    <col min="14" max="14" width="11.7109375" bestFit="1" customWidth="1"/>
  </cols>
  <sheetData>
    <row r="1" spans="1:17" ht="29.25" customHeight="1" x14ac:dyDescent="0.25">
      <c r="A1" s="93" t="s">
        <v>59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7" x14ac:dyDescent="0.25">
      <c r="A2" s="121" t="s">
        <v>60</v>
      </c>
      <c r="B2" s="33">
        <v>31</v>
      </c>
      <c r="C2" s="33">
        <v>29</v>
      </c>
      <c r="D2" s="33">
        <v>31</v>
      </c>
      <c r="E2" s="33">
        <v>30</v>
      </c>
      <c r="F2" s="33">
        <v>31</v>
      </c>
      <c r="G2" s="33">
        <v>30</v>
      </c>
      <c r="H2" s="33">
        <v>31</v>
      </c>
      <c r="I2" s="33">
        <v>31</v>
      </c>
      <c r="J2" s="33">
        <v>30</v>
      </c>
      <c r="K2" s="33">
        <v>31</v>
      </c>
      <c r="L2" s="33">
        <v>30</v>
      </c>
      <c r="M2" s="33">
        <v>30</v>
      </c>
      <c r="N2" s="1"/>
    </row>
    <row r="3" spans="1:17" s="4" customFormat="1" x14ac:dyDescent="0.2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7" ht="19.5" customHeight="1" x14ac:dyDescent="0.25">
      <c r="A4" s="92" t="s">
        <v>149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7" x14ac:dyDescent="0.25">
      <c r="A5" s="32" t="s">
        <v>11</v>
      </c>
      <c r="B5" s="34" t="s">
        <v>15</v>
      </c>
      <c r="C5" s="34" t="s">
        <v>0</v>
      </c>
      <c r="D5" s="34" t="s">
        <v>1</v>
      </c>
      <c r="E5" s="34" t="s">
        <v>2</v>
      </c>
      <c r="F5" s="34" t="s">
        <v>3</v>
      </c>
      <c r="G5" s="34" t="s">
        <v>4</v>
      </c>
      <c r="H5" s="34" t="s">
        <v>9</v>
      </c>
      <c r="I5" s="34" t="s">
        <v>5</v>
      </c>
      <c r="J5" s="34" t="s">
        <v>6</v>
      </c>
      <c r="K5" s="34" t="s">
        <v>7</v>
      </c>
      <c r="L5" s="34" t="s">
        <v>8</v>
      </c>
      <c r="M5" s="34" t="s">
        <v>14</v>
      </c>
      <c r="N5" s="34" t="s">
        <v>10</v>
      </c>
    </row>
    <row r="6" spans="1:17" x14ac:dyDescent="0.25">
      <c r="A6" s="35" t="str">
        <f>DonenVarlik!A2</f>
        <v>Kapı</v>
      </c>
      <c r="B6" s="36">
        <f>$B$2*DonenVarlik!$L2</f>
        <v>3100</v>
      </c>
      <c r="C6" s="36">
        <f>C$2*DonenVarlik!$L2</f>
        <v>2900</v>
      </c>
      <c r="D6" s="36">
        <f>D$2*DonenVarlik!$L2</f>
        <v>3100</v>
      </c>
      <c r="E6" s="36">
        <f>E$2*DonenVarlik!$M2</f>
        <v>3000</v>
      </c>
      <c r="F6" s="36">
        <f>F$2*DonenVarlik!$M2</f>
        <v>3100</v>
      </c>
      <c r="G6" s="36">
        <f>G$2*DonenVarlik!$M2</f>
        <v>3000</v>
      </c>
      <c r="H6" s="36">
        <f>H$2*DonenVarlik!$M2</f>
        <v>3100</v>
      </c>
      <c r="I6" s="36">
        <f>I$2*DonenVarlik!$M2</f>
        <v>3100</v>
      </c>
      <c r="J6" s="36">
        <f>J$2*DonenVarlik!$M2</f>
        <v>3000</v>
      </c>
      <c r="K6" s="36">
        <f>K$2*DonenVarlik!$M2</f>
        <v>3100</v>
      </c>
      <c r="L6" s="36">
        <f>L$2*DonenVarlik!$M2</f>
        <v>3000</v>
      </c>
      <c r="M6" s="36">
        <f>$M$2*DonenVarlik!L2</f>
        <v>3000</v>
      </c>
      <c r="N6" s="36">
        <f>SUM(B6:M6)</f>
        <v>36500</v>
      </c>
    </row>
    <row r="7" spans="1:17" x14ac:dyDescent="0.25">
      <c r="A7" s="35" t="str">
        <f>DonenVarlik!A3</f>
        <v>Mutfak/banyo mobilyası</v>
      </c>
      <c r="B7" s="36">
        <f>$B$2*DonenVarlik!$L3</f>
        <v>9920</v>
      </c>
      <c r="C7" s="36">
        <f>C$2*DonenVarlik!$L3</f>
        <v>9280</v>
      </c>
      <c r="D7" s="36">
        <f>D$2*DonenVarlik!$L3</f>
        <v>9920</v>
      </c>
      <c r="E7" s="36">
        <f>E$2*DonenVarlik!$M3</f>
        <v>9600</v>
      </c>
      <c r="F7" s="36">
        <f>F$2*DonenVarlik!$M3</f>
        <v>9920</v>
      </c>
      <c r="G7" s="36">
        <f>G$2*DonenVarlik!$M3</f>
        <v>9600</v>
      </c>
      <c r="H7" s="36">
        <f>H$2*DonenVarlik!$M3</f>
        <v>9920</v>
      </c>
      <c r="I7" s="36">
        <f>I$2*DonenVarlik!$M3</f>
        <v>9920</v>
      </c>
      <c r="J7" s="36">
        <f>J$2*DonenVarlik!$M3</f>
        <v>9600</v>
      </c>
      <c r="K7" s="36">
        <f>K$2*DonenVarlik!$M3</f>
        <v>9920</v>
      </c>
      <c r="L7" s="36">
        <f>L$2*DonenVarlik!$M3</f>
        <v>9600</v>
      </c>
      <c r="M7" s="36">
        <f>$M$2*DonenVarlik!L3</f>
        <v>9600</v>
      </c>
      <c r="N7" s="36">
        <f t="shared" ref="N7:N10" si="0">SUM(B7:M7)</f>
        <v>116800</v>
      </c>
    </row>
    <row r="8" spans="1:17" x14ac:dyDescent="0.25">
      <c r="A8" s="35" t="str">
        <f>DonenVarlik!A4</f>
        <v>Yatak Odası</v>
      </c>
      <c r="B8" s="36">
        <f>$B$2*DonenVarlik!$L4</f>
        <v>1121.0958904109589</v>
      </c>
      <c r="C8" s="36">
        <f>C$2*DonenVarlik!$L4</f>
        <v>1048.767123287671</v>
      </c>
      <c r="D8" s="36">
        <f>D$2*DonenVarlik!$L4</f>
        <v>1121.0958904109589</v>
      </c>
      <c r="E8" s="36">
        <f>E$2*DonenVarlik!$M4</f>
        <v>1084.9315068493149</v>
      </c>
      <c r="F8" s="36">
        <f>F$2*DonenVarlik!$M4</f>
        <v>1121.0958904109589</v>
      </c>
      <c r="G8" s="36">
        <f>G$2*DonenVarlik!$M4</f>
        <v>1084.9315068493149</v>
      </c>
      <c r="H8" s="36">
        <f>H$2*DonenVarlik!$M4</f>
        <v>1121.0958904109589</v>
      </c>
      <c r="I8" s="36">
        <f>I$2*DonenVarlik!$M4</f>
        <v>1121.0958904109589</v>
      </c>
      <c r="J8" s="36">
        <f>J$2*DonenVarlik!$M4</f>
        <v>1084.9315068493149</v>
      </c>
      <c r="K8" s="36">
        <f>K$2*DonenVarlik!$M4</f>
        <v>1121.0958904109589</v>
      </c>
      <c r="L8" s="36">
        <f>L$2*DonenVarlik!$M4</f>
        <v>1084.9315068493149</v>
      </c>
      <c r="M8" s="36">
        <f>$M$2*DonenVarlik!L4</f>
        <v>1084.9315068493149</v>
      </c>
      <c r="N8" s="36">
        <f t="shared" si="0"/>
        <v>13199.999999999998</v>
      </c>
    </row>
    <row r="9" spans="1:17" x14ac:dyDescent="0.25">
      <c r="A9" s="35" t="str">
        <f>DonenVarlik!A5</f>
        <v>Çocuk Odası</v>
      </c>
      <c r="B9" s="36">
        <f>$B$2*DonenVarlik!$L5</f>
        <v>212.32876712328766</v>
      </c>
      <c r="C9" s="36">
        <f>C$2*DonenVarlik!$L5</f>
        <v>198.63013698630135</v>
      </c>
      <c r="D9" s="36">
        <f>D$2*DonenVarlik!$L5</f>
        <v>212.32876712328766</v>
      </c>
      <c r="E9" s="36">
        <f>E$2*DonenVarlik!$M5</f>
        <v>205.47945205479451</v>
      </c>
      <c r="F9" s="36">
        <f>F$2*DonenVarlik!$M5</f>
        <v>212.32876712328766</v>
      </c>
      <c r="G9" s="36">
        <f>G$2*DonenVarlik!$M5</f>
        <v>205.47945205479451</v>
      </c>
      <c r="H9" s="36">
        <f>H$2*DonenVarlik!$M5</f>
        <v>212.32876712328766</v>
      </c>
      <c r="I9" s="36">
        <f>I$2*DonenVarlik!$M5</f>
        <v>212.32876712328766</v>
      </c>
      <c r="J9" s="36">
        <f>J$2*DonenVarlik!$M5</f>
        <v>205.47945205479451</v>
      </c>
      <c r="K9" s="36">
        <f>K$2*DonenVarlik!$M5</f>
        <v>212.32876712328766</v>
      </c>
      <c r="L9" s="36">
        <f>L$2*DonenVarlik!$M5</f>
        <v>205.47945205479451</v>
      </c>
      <c r="M9" s="36">
        <f>$M$2*DonenVarlik!L5</f>
        <v>205.47945205479451</v>
      </c>
      <c r="N9" s="36">
        <f t="shared" si="0"/>
        <v>2500</v>
      </c>
    </row>
    <row r="10" spans="1:17" x14ac:dyDescent="0.25">
      <c r="A10" s="35" t="s">
        <v>10</v>
      </c>
      <c r="B10" s="36">
        <f>SUM(B6:B9)</f>
        <v>14353.424657534248</v>
      </c>
      <c r="C10" s="36">
        <f t="shared" ref="C10:M10" si="1">SUM(C6:C9)</f>
        <v>13427.397260273972</v>
      </c>
      <c r="D10" s="36">
        <f t="shared" si="1"/>
        <v>14353.424657534248</v>
      </c>
      <c r="E10" s="36">
        <f t="shared" si="1"/>
        <v>13890.410958904109</v>
      </c>
      <c r="F10" s="36">
        <f t="shared" si="1"/>
        <v>14353.424657534248</v>
      </c>
      <c r="G10" s="36">
        <f t="shared" si="1"/>
        <v>13890.410958904109</v>
      </c>
      <c r="H10" s="36">
        <f t="shared" si="1"/>
        <v>14353.424657534248</v>
      </c>
      <c r="I10" s="36">
        <f t="shared" si="1"/>
        <v>14353.424657534248</v>
      </c>
      <c r="J10" s="36">
        <f t="shared" si="1"/>
        <v>13890.410958904109</v>
      </c>
      <c r="K10" s="36">
        <f t="shared" si="1"/>
        <v>14353.424657534248</v>
      </c>
      <c r="L10" s="36">
        <f t="shared" si="1"/>
        <v>13890.410958904109</v>
      </c>
      <c r="M10" s="36">
        <f t="shared" si="1"/>
        <v>13890.410958904109</v>
      </c>
      <c r="N10" s="6">
        <f t="shared" si="0"/>
        <v>169000</v>
      </c>
    </row>
    <row r="12" spans="1:17" ht="18.75" x14ac:dyDescent="0.25">
      <c r="A12" s="92" t="s">
        <v>152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</row>
    <row r="13" spans="1:17" x14ac:dyDescent="0.25">
      <c r="A13" s="32" t="s">
        <v>11</v>
      </c>
      <c r="B13" s="34" t="s">
        <v>15</v>
      </c>
      <c r="C13" s="34" t="s">
        <v>0</v>
      </c>
      <c r="D13" s="34" t="s">
        <v>1</v>
      </c>
      <c r="E13" s="34" t="s">
        <v>2</v>
      </c>
      <c r="F13" s="34" t="s">
        <v>3</v>
      </c>
      <c r="G13" s="34" t="s">
        <v>4</v>
      </c>
      <c r="H13" s="34" t="s">
        <v>9</v>
      </c>
      <c r="I13" s="34" t="s">
        <v>5</v>
      </c>
      <c r="J13" s="34" t="s">
        <v>6</v>
      </c>
      <c r="K13" s="34" t="s">
        <v>7</v>
      </c>
      <c r="L13" s="34" t="s">
        <v>8</v>
      </c>
      <c r="M13" s="34" t="s">
        <v>14</v>
      </c>
      <c r="N13" s="34" t="s">
        <v>10</v>
      </c>
    </row>
    <row r="14" spans="1:17" x14ac:dyDescent="0.25">
      <c r="A14" s="35" t="str">
        <f>DonenVarlik!A2</f>
        <v>Kapı</v>
      </c>
      <c r="B14" s="37">
        <f>B$2*DonenVarlik!$C2*DonenVarlik!$H2</f>
        <v>2635</v>
      </c>
      <c r="C14" s="37">
        <f>C$2*DonenVarlik!$C2*DonenVarlik!$H2</f>
        <v>2465</v>
      </c>
      <c r="D14" s="37">
        <f>D$2*DonenVarlik!$C2*DonenVarlik!$H2</f>
        <v>2635</v>
      </c>
      <c r="E14" s="37">
        <f>E$2*DonenVarlik!$C2*DonenVarlik!$I2</f>
        <v>2550</v>
      </c>
      <c r="F14" s="37">
        <f>F$2*DonenVarlik!$C2*DonenVarlik!$I2</f>
        <v>2635</v>
      </c>
      <c r="G14" s="37">
        <f>G$2*DonenVarlik!$C2*DonenVarlik!$I2</f>
        <v>2550</v>
      </c>
      <c r="H14" s="37">
        <f>H$2*DonenVarlik!$C2*DonenVarlik!$I2</f>
        <v>2635</v>
      </c>
      <c r="I14" s="37">
        <f>I$2*DonenVarlik!$C2*DonenVarlik!$I2</f>
        <v>2635</v>
      </c>
      <c r="J14" s="37">
        <f>J$2*DonenVarlik!$C2*DonenVarlik!$I2</f>
        <v>2550</v>
      </c>
      <c r="K14" s="37">
        <f>K$2*DonenVarlik!$C2*DonenVarlik!$I2</f>
        <v>2635</v>
      </c>
      <c r="L14" s="37">
        <f>L$2*DonenVarlik!$C2*DonenVarlik!$I2</f>
        <v>2550</v>
      </c>
      <c r="M14" s="37">
        <f>M$2*DonenVarlik!$C2*DonenVarlik!$H2</f>
        <v>2550</v>
      </c>
      <c r="N14" s="37">
        <f>SUM(B14:M14)</f>
        <v>31025</v>
      </c>
      <c r="Q14" t="s">
        <v>156</v>
      </c>
    </row>
    <row r="15" spans="1:17" x14ac:dyDescent="0.25">
      <c r="A15" s="35" t="str">
        <f>DonenVarlik!A3</f>
        <v>Mutfak/banyo mobilyası</v>
      </c>
      <c r="B15" s="37">
        <f>B$2*DonenVarlik!$C3*DonenVarlik!$H3</f>
        <v>7750</v>
      </c>
      <c r="C15" s="37">
        <f>C$2*DonenVarlik!$C3*DonenVarlik!$H3</f>
        <v>7250</v>
      </c>
      <c r="D15" s="37">
        <f>D$2*DonenVarlik!$C3*DonenVarlik!$H3</f>
        <v>7750</v>
      </c>
      <c r="E15" s="37">
        <f>E$2*DonenVarlik!$C3*DonenVarlik!$I3</f>
        <v>7500</v>
      </c>
      <c r="F15" s="37">
        <f>F$2*DonenVarlik!$C3*DonenVarlik!$I3</f>
        <v>7750</v>
      </c>
      <c r="G15" s="37">
        <f>G$2*DonenVarlik!$C3*DonenVarlik!$I3</f>
        <v>7500</v>
      </c>
      <c r="H15" s="37">
        <f>H$2*DonenVarlik!$C3*DonenVarlik!$I3</f>
        <v>7750</v>
      </c>
      <c r="I15" s="37">
        <f>I$2*DonenVarlik!$C3*DonenVarlik!$I3</f>
        <v>7750</v>
      </c>
      <c r="J15" s="37">
        <f>J$2*DonenVarlik!$C3*DonenVarlik!$I3</f>
        <v>7500</v>
      </c>
      <c r="K15" s="37">
        <f>K$2*DonenVarlik!$C3*DonenVarlik!$I3</f>
        <v>7750</v>
      </c>
      <c r="L15" s="37">
        <f>L$2*DonenVarlik!$C3*DonenVarlik!$I3</f>
        <v>7500</v>
      </c>
      <c r="M15" s="37">
        <f>M$2*DonenVarlik!$C3*DonenVarlik!$H3</f>
        <v>7500</v>
      </c>
      <c r="N15" s="37">
        <f t="shared" ref="N15:N17" si="2">SUM(B15:M15)</f>
        <v>91250</v>
      </c>
    </row>
    <row r="16" spans="1:17" x14ac:dyDescent="0.25">
      <c r="A16" s="35" t="str">
        <f>DonenVarlik!A4</f>
        <v>Yatak Odası</v>
      </c>
      <c r="B16" s="37">
        <f>B$2*DonenVarlik!$C4*DonenVarlik!$H4</f>
        <v>815.34246575342456</v>
      </c>
      <c r="C16" s="37">
        <f>C$2*DonenVarlik!$C4*DonenVarlik!$H4</f>
        <v>762.73972602739718</v>
      </c>
      <c r="D16" s="37">
        <f>D$2*DonenVarlik!$C4*DonenVarlik!$H4</f>
        <v>815.34246575342456</v>
      </c>
      <c r="E16" s="37">
        <f>E$2*DonenVarlik!$C4*DonenVarlik!$I4</f>
        <v>789.04109589041093</v>
      </c>
      <c r="F16" s="37">
        <f>F$2*DonenVarlik!$C4*DonenVarlik!$I4</f>
        <v>815.34246575342456</v>
      </c>
      <c r="G16" s="37">
        <f>G$2*DonenVarlik!$C4*DonenVarlik!$I4</f>
        <v>789.04109589041093</v>
      </c>
      <c r="H16" s="37">
        <f>H$2*DonenVarlik!$C4*DonenVarlik!$I4</f>
        <v>815.34246575342456</v>
      </c>
      <c r="I16" s="37">
        <f>I$2*DonenVarlik!$C4*DonenVarlik!$I4</f>
        <v>815.34246575342456</v>
      </c>
      <c r="J16" s="37">
        <f>J$2*DonenVarlik!$C4*DonenVarlik!$I4</f>
        <v>789.04109589041093</v>
      </c>
      <c r="K16" s="37">
        <f>K$2*DonenVarlik!$C4*DonenVarlik!$I4</f>
        <v>815.34246575342456</v>
      </c>
      <c r="L16" s="37">
        <f>L$2*DonenVarlik!$C4*DonenVarlik!$I4</f>
        <v>789.04109589041093</v>
      </c>
      <c r="M16" s="37">
        <f>M$2*DonenVarlik!$C4*DonenVarlik!$H4</f>
        <v>789.04109589041093</v>
      </c>
      <c r="N16" s="37">
        <f t="shared" si="2"/>
        <v>9599.9999999999982</v>
      </c>
    </row>
    <row r="17" spans="1:14" x14ac:dyDescent="0.25">
      <c r="A17" s="35" t="str">
        <f>DonenVarlik!A5</f>
        <v>Çocuk Odası</v>
      </c>
      <c r="B17" s="37">
        <f>B$2*DonenVarlik!$C5*DonenVarlik!$H5</f>
        <v>169.86301369863014</v>
      </c>
      <c r="C17" s="37">
        <f>C$2*DonenVarlik!$C5*DonenVarlik!$H5</f>
        <v>158.9041095890411</v>
      </c>
      <c r="D17" s="37">
        <f>D$2*DonenVarlik!$C5*DonenVarlik!$H5</f>
        <v>169.86301369863014</v>
      </c>
      <c r="E17" s="37">
        <f>E$2*DonenVarlik!$C5*DonenVarlik!$I5</f>
        <v>164.38356164383561</v>
      </c>
      <c r="F17" s="37">
        <f>F$2*DonenVarlik!$C5*DonenVarlik!$I5</f>
        <v>169.86301369863014</v>
      </c>
      <c r="G17" s="37">
        <f>G$2*DonenVarlik!$C5*DonenVarlik!$I5</f>
        <v>164.38356164383561</v>
      </c>
      <c r="H17" s="37">
        <f>H$2*DonenVarlik!$C5*DonenVarlik!$I5</f>
        <v>169.86301369863014</v>
      </c>
      <c r="I17" s="37">
        <f>I$2*DonenVarlik!$C5*DonenVarlik!$I5</f>
        <v>169.86301369863014</v>
      </c>
      <c r="J17" s="37">
        <f>J$2*DonenVarlik!$C5*DonenVarlik!$I5</f>
        <v>164.38356164383561</v>
      </c>
      <c r="K17" s="37">
        <f>K$2*DonenVarlik!$C5*DonenVarlik!$I5</f>
        <v>169.86301369863014</v>
      </c>
      <c r="L17" s="37">
        <f>L$2*DonenVarlik!$C5*DonenVarlik!$I5</f>
        <v>164.38356164383561</v>
      </c>
      <c r="M17" s="37">
        <f>M$2*DonenVarlik!$C5*DonenVarlik!$H5</f>
        <v>164.38356164383561</v>
      </c>
      <c r="N17" s="37">
        <f t="shared" si="2"/>
        <v>2000</v>
      </c>
    </row>
    <row r="18" spans="1:14" x14ac:dyDescent="0.25">
      <c r="A18" s="35" t="s">
        <v>10</v>
      </c>
      <c r="B18" s="37">
        <f t="shared" ref="B18:N18" si="3">SUM(B14:B17)</f>
        <v>11370.205479452055</v>
      </c>
      <c r="C18" s="37">
        <f t="shared" si="3"/>
        <v>10636.643835616438</v>
      </c>
      <c r="D18" s="37">
        <f t="shared" si="3"/>
        <v>11370.205479452055</v>
      </c>
      <c r="E18" s="37">
        <f t="shared" si="3"/>
        <v>11003.424657534246</v>
      </c>
      <c r="F18" s="37">
        <f t="shared" si="3"/>
        <v>11370.205479452055</v>
      </c>
      <c r="G18" s="37">
        <f t="shared" si="3"/>
        <v>11003.424657534246</v>
      </c>
      <c r="H18" s="37">
        <f t="shared" si="3"/>
        <v>11370.205479452055</v>
      </c>
      <c r="I18" s="37">
        <f t="shared" si="3"/>
        <v>11370.205479452055</v>
      </c>
      <c r="J18" s="37">
        <f t="shared" si="3"/>
        <v>11003.424657534246</v>
      </c>
      <c r="K18" s="37">
        <f t="shared" si="3"/>
        <v>11370.205479452055</v>
      </c>
      <c r="L18" s="37">
        <f t="shared" si="3"/>
        <v>11003.424657534246</v>
      </c>
      <c r="M18" s="37">
        <f t="shared" si="3"/>
        <v>11003.424657534246</v>
      </c>
      <c r="N18" s="8">
        <f t="shared" si="3"/>
        <v>133875</v>
      </c>
    </row>
    <row r="19" spans="1:14" x14ac:dyDescent="0.25">
      <c r="C19" s="9"/>
      <c r="D19" s="9"/>
      <c r="E19" s="9"/>
    </row>
    <row r="20" spans="1:14" ht="18.75" x14ac:dyDescent="0.25">
      <c r="A20" s="92" t="s">
        <v>150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x14ac:dyDescent="0.25">
      <c r="A21" s="32" t="s">
        <v>11</v>
      </c>
      <c r="B21" s="34" t="s">
        <v>15</v>
      </c>
      <c r="C21" s="34" t="s">
        <v>0</v>
      </c>
      <c r="D21" s="34" t="s">
        <v>1</v>
      </c>
      <c r="E21" s="34" t="s">
        <v>2</v>
      </c>
      <c r="F21" s="34" t="s">
        <v>3</v>
      </c>
      <c r="G21" s="34" t="s">
        <v>4</v>
      </c>
      <c r="H21" s="34" t="s">
        <v>9</v>
      </c>
      <c r="I21" s="34" t="s">
        <v>5</v>
      </c>
      <c r="J21" s="34" t="s">
        <v>6</v>
      </c>
      <c r="K21" s="34" t="s">
        <v>7</v>
      </c>
      <c r="L21" s="34" t="s">
        <v>8</v>
      </c>
      <c r="M21" s="34" t="s">
        <v>14</v>
      </c>
      <c r="N21" s="34" t="s">
        <v>10</v>
      </c>
    </row>
    <row r="22" spans="1:14" x14ac:dyDescent="0.25">
      <c r="A22" s="35" t="str">
        <f>DonenVarlik!A2</f>
        <v>Kapı</v>
      </c>
      <c r="B22" s="37">
        <f>B$2*DonenVarlik!$D2*DonenVarlik!$H2</f>
        <v>387.5</v>
      </c>
      <c r="C22" s="37">
        <f>C$2*DonenVarlik!$D2*DonenVarlik!$H2</f>
        <v>362.5</v>
      </c>
      <c r="D22" s="37">
        <f>D$2*DonenVarlik!$D2*DonenVarlik!$H2</f>
        <v>387.5</v>
      </c>
      <c r="E22" s="37">
        <f>E$2*DonenVarlik!$D2*DonenVarlik!$I2</f>
        <v>375</v>
      </c>
      <c r="F22" s="37">
        <f>F$2*DonenVarlik!$D2*DonenVarlik!$I2</f>
        <v>387.5</v>
      </c>
      <c r="G22" s="37">
        <f>G$2*DonenVarlik!$D2*DonenVarlik!$I2</f>
        <v>375</v>
      </c>
      <c r="H22" s="37">
        <f>H$2*DonenVarlik!$D2*DonenVarlik!$I2</f>
        <v>387.5</v>
      </c>
      <c r="I22" s="37">
        <f>I$2*DonenVarlik!$D2*DonenVarlik!$I2</f>
        <v>387.5</v>
      </c>
      <c r="J22" s="37">
        <f>J$2*DonenVarlik!$D2*DonenVarlik!$I2</f>
        <v>375</v>
      </c>
      <c r="K22" s="37">
        <f>K$2*DonenVarlik!$D2*DonenVarlik!$I2</f>
        <v>387.5</v>
      </c>
      <c r="L22" s="37">
        <f>L$2*DonenVarlik!$D2*DonenVarlik!$I2</f>
        <v>375</v>
      </c>
      <c r="M22" s="37">
        <f>M$2*DonenVarlik!$D2*DonenVarlik!$H2</f>
        <v>375</v>
      </c>
      <c r="N22" s="37">
        <f>SUM(B22:M22)</f>
        <v>4562.5</v>
      </c>
    </row>
    <row r="23" spans="1:14" x14ac:dyDescent="0.25">
      <c r="A23" s="35" t="str">
        <f>DonenVarlik!A3</f>
        <v>Mutfak/banyo mobilyası</v>
      </c>
      <c r="B23" s="37">
        <f>B$2*DonenVarlik!$D3*DonenVarlik!$H3</f>
        <v>1860</v>
      </c>
      <c r="C23" s="37">
        <f>C$2*DonenVarlik!$D3*DonenVarlik!$H3</f>
        <v>1740</v>
      </c>
      <c r="D23" s="37">
        <f>D$2*DonenVarlik!$D3*DonenVarlik!$H3</f>
        <v>1860</v>
      </c>
      <c r="E23" s="37">
        <f>E$2*DonenVarlik!$D3*DonenVarlik!$I3</f>
        <v>1800</v>
      </c>
      <c r="F23" s="37">
        <f>F$2*DonenVarlik!$D3*DonenVarlik!$I3</f>
        <v>1860</v>
      </c>
      <c r="G23" s="37">
        <f>G$2*DonenVarlik!$D3*DonenVarlik!$I3</f>
        <v>1800</v>
      </c>
      <c r="H23" s="37">
        <f>H$2*DonenVarlik!$D3*DonenVarlik!$I3</f>
        <v>1860</v>
      </c>
      <c r="I23" s="37">
        <f>I$2*DonenVarlik!$D3*DonenVarlik!$I3</f>
        <v>1860</v>
      </c>
      <c r="J23" s="37">
        <f>J$2*DonenVarlik!$D3*DonenVarlik!$I3</f>
        <v>1800</v>
      </c>
      <c r="K23" s="37">
        <f>K$2*DonenVarlik!$D3*DonenVarlik!$I3</f>
        <v>1860</v>
      </c>
      <c r="L23" s="37">
        <f>L$2*DonenVarlik!$D3*DonenVarlik!$I3</f>
        <v>1800</v>
      </c>
      <c r="M23" s="37">
        <f>M$2*DonenVarlik!$D3*DonenVarlik!$H3</f>
        <v>1800</v>
      </c>
      <c r="N23" s="37">
        <f t="shared" ref="N23:N25" si="4">SUM(B23:M23)</f>
        <v>21900</v>
      </c>
    </row>
    <row r="24" spans="1:14" x14ac:dyDescent="0.25">
      <c r="A24" s="35" t="str">
        <f>DonenVarlik!A4</f>
        <v>Yatak Odası</v>
      </c>
      <c r="B24" s="37">
        <f>B$2*DonenVarlik!$D4*DonenVarlik!$H4</f>
        <v>280.27397260273972</v>
      </c>
      <c r="C24" s="37">
        <f>C$2*DonenVarlik!$D4*DonenVarlik!$H4</f>
        <v>262.1917808219178</v>
      </c>
      <c r="D24" s="37">
        <f>D$2*DonenVarlik!$D4*DonenVarlik!$H4</f>
        <v>280.27397260273972</v>
      </c>
      <c r="E24" s="37">
        <f>E$2*DonenVarlik!$D4*DonenVarlik!$I4</f>
        <v>271.23287671232873</v>
      </c>
      <c r="F24" s="37">
        <f>F$2*DonenVarlik!$D4*DonenVarlik!$I4</f>
        <v>280.27397260273972</v>
      </c>
      <c r="G24" s="37">
        <f>G$2*DonenVarlik!$D4*DonenVarlik!$I4</f>
        <v>271.23287671232873</v>
      </c>
      <c r="H24" s="37">
        <f>H$2*DonenVarlik!$D4*DonenVarlik!$I4</f>
        <v>280.27397260273972</v>
      </c>
      <c r="I24" s="37">
        <f>I$2*DonenVarlik!$D4*DonenVarlik!$I4</f>
        <v>280.27397260273972</v>
      </c>
      <c r="J24" s="37">
        <f>J$2*DonenVarlik!$D4*DonenVarlik!$I4</f>
        <v>271.23287671232873</v>
      </c>
      <c r="K24" s="37">
        <f>K$2*DonenVarlik!$D4*DonenVarlik!$I4</f>
        <v>280.27397260273972</v>
      </c>
      <c r="L24" s="37">
        <f>L$2*DonenVarlik!$D4*DonenVarlik!$I4</f>
        <v>271.23287671232873</v>
      </c>
      <c r="M24" s="37">
        <f>M$2*DonenVarlik!$D4*DonenVarlik!$H4</f>
        <v>271.23287671232873</v>
      </c>
      <c r="N24" s="37">
        <f t="shared" si="4"/>
        <v>3299.9999999999995</v>
      </c>
    </row>
    <row r="25" spans="1:14" x14ac:dyDescent="0.25">
      <c r="A25" s="35" t="str">
        <f>DonenVarlik!A5</f>
        <v>Çocuk Odası</v>
      </c>
      <c r="B25" s="37">
        <f>B$2*DonenVarlik!$D5*DonenVarlik!$H5</f>
        <v>37.369863013698634</v>
      </c>
      <c r="C25" s="37">
        <f>C$2*DonenVarlik!$D5*DonenVarlik!$H5</f>
        <v>34.958904109589042</v>
      </c>
      <c r="D25" s="37">
        <f>D$2*DonenVarlik!$D5*DonenVarlik!$H5</f>
        <v>37.369863013698634</v>
      </c>
      <c r="E25" s="37">
        <f>E$2*DonenVarlik!$D5*DonenVarlik!$I5</f>
        <v>36.164383561643838</v>
      </c>
      <c r="F25" s="37">
        <f>F$2*DonenVarlik!$D5*DonenVarlik!$I5</f>
        <v>37.369863013698634</v>
      </c>
      <c r="G25" s="37">
        <f>G$2*DonenVarlik!$D5*DonenVarlik!$I5</f>
        <v>36.164383561643838</v>
      </c>
      <c r="H25" s="37">
        <f>H$2*DonenVarlik!$D5*DonenVarlik!$I5</f>
        <v>37.369863013698634</v>
      </c>
      <c r="I25" s="37">
        <f>I$2*DonenVarlik!$D5*DonenVarlik!$I5</f>
        <v>37.369863013698634</v>
      </c>
      <c r="J25" s="37">
        <f>J$2*DonenVarlik!$D5*DonenVarlik!$I5</f>
        <v>36.164383561643838</v>
      </c>
      <c r="K25" s="37">
        <f>K$2*DonenVarlik!$D5*DonenVarlik!$I5</f>
        <v>37.369863013698634</v>
      </c>
      <c r="L25" s="37">
        <f>L$2*DonenVarlik!$D5*DonenVarlik!$I5</f>
        <v>36.164383561643838</v>
      </c>
      <c r="M25" s="37">
        <f>M$2*DonenVarlik!$D5*DonenVarlik!$H5</f>
        <v>36.164383561643838</v>
      </c>
      <c r="N25" s="37">
        <f t="shared" si="4"/>
        <v>440.00000000000006</v>
      </c>
    </row>
    <row r="26" spans="1:14" x14ac:dyDescent="0.25">
      <c r="A26" s="35" t="s">
        <v>10</v>
      </c>
      <c r="B26" s="37">
        <f t="shared" ref="B26:N26" si="5">SUM(B22:B25)</f>
        <v>2565.1438356164385</v>
      </c>
      <c r="C26" s="37">
        <f t="shared" si="5"/>
        <v>2399.6506849315069</v>
      </c>
      <c r="D26" s="37">
        <f t="shared" si="5"/>
        <v>2565.1438356164385</v>
      </c>
      <c r="E26" s="37">
        <f t="shared" si="5"/>
        <v>2482.3972602739723</v>
      </c>
      <c r="F26" s="37">
        <f t="shared" si="5"/>
        <v>2565.1438356164385</v>
      </c>
      <c r="G26" s="37">
        <f t="shared" si="5"/>
        <v>2482.3972602739723</v>
      </c>
      <c r="H26" s="37">
        <f t="shared" si="5"/>
        <v>2565.1438356164385</v>
      </c>
      <c r="I26" s="37">
        <f t="shared" si="5"/>
        <v>2565.1438356164385</v>
      </c>
      <c r="J26" s="37">
        <f t="shared" si="5"/>
        <v>2482.3972602739723</v>
      </c>
      <c r="K26" s="37">
        <f t="shared" si="5"/>
        <v>2565.1438356164385</v>
      </c>
      <c r="L26" s="37">
        <f t="shared" si="5"/>
        <v>2482.3972602739723</v>
      </c>
      <c r="M26" s="37">
        <f t="shared" si="5"/>
        <v>2482.3972602739723</v>
      </c>
      <c r="N26" s="8">
        <f t="shared" si="5"/>
        <v>30202.5</v>
      </c>
    </row>
    <row r="28" spans="1:14" ht="18.75" x14ac:dyDescent="0.25">
      <c r="A28" s="92" t="s">
        <v>151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4" x14ac:dyDescent="0.25">
      <c r="A29" s="32" t="s">
        <v>11</v>
      </c>
      <c r="B29" s="34" t="s">
        <v>15</v>
      </c>
      <c r="C29" s="34" t="s">
        <v>0</v>
      </c>
      <c r="D29" s="34" t="s">
        <v>1</v>
      </c>
      <c r="E29" s="34" t="s">
        <v>2</v>
      </c>
      <c r="F29" s="34" t="s">
        <v>3</v>
      </c>
      <c r="G29" s="34" t="s">
        <v>4</v>
      </c>
      <c r="H29" s="34" t="s">
        <v>9</v>
      </c>
      <c r="I29" s="34" t="s">
        <v>5</v>
      </c>
      <c r="J29" s="34" t="s">
        <v>6</v>
      </c>
      <c r="K29" s="34" t="s">
        <v>7</v>
      </c>
      <c r="L29" s="34" t="s">
        <v>8</v>
      </c>
      <c r="M29" s="34" t="s">
        <v>14</v>
      </c>
      <c r="N29" s="34" t="s">
        <v>10</v>
      </c>
    </row>
    <row r="30" spans="1:14" x14ac:dyDescent="0.25">
      <c r="A30" s="35" t="str">
        <f>DonenVarlik!A2</f>
        <v>Kapı</v>
      </c>
      <c r="B30" s="37">
        <f>B$2*DonenVarlik!$E2*DonenVarlik!$H2</f>
        <v>77.5</v>
      </c>
      <c r="C30" s="37">
        <f>C$2*DonenVarlik!$E2*DonenVarlik!$H2</f>
        <v>72.5</v>
      </c>
      <c r="D30" s="37">
        <f>D$2*DonenVarlik!$E2*DonenVarlik!$H2</f>
        <v>77.5</v>
      </c>
      <c r="E30" s="37">
        <f>E$2*DonenVarlik!$E2*DonenVarlik!$I2</f>
        <v>75</v>
      </c>
      <c r="F30" s="37">
        <f>F$2*DonenVarlik!$E2*DonenVarlik!$I2</f>
        <v>77.5</v>
      </c>
      <c r="G30" s="37">
        <f>G$2*DonenVarlik!$E2*DonenVarlik!$I2</f>
        <v>75</v>
      </c>
      <c r="H30" s="37">
        <f>H$2*DonenVarlik!$E2*DonenVarlik!$I2</f>
        <v>77.5</v>
      </c>
      <c r="I30" s="37">
        <f>I$2*DonenVarlik!$E2*DonenVarlik!$I2</f>
        <v>77.5</v>
      </c>
      <c r="J30" s="37">
        <f>J$2*DonenVarlik!$E2*DonenVarlik!$I2</f>
        <v>75</v>
      </c>
      <c r="K30" s="37">
        <f>K$2*DonenVarlik!$E2*DonenVarlik!$I2</f>
        <v>77.5</v>
      </c>
      <c r="L30" s="37">
        <f>L$2*DonenVarlik!$E2*DonenVarlik!$I2</f>
        <v>75</v>
      </c>
      <c r="M30" s="37">
        <f>$M$2*DonenVarlik!$E2*DonenVarlik!$H2</f>
        <v>75</v>
      </c>
      <c r="N30" s="37">
        <f>SUM(B30:M30)</f>
        <v>912.5</v>
      </c>
    </row>
    <row r="31" spans="1:14" x14ac:dyDescent="0.25">
      <c r="A31" s="35" t="str">
        <f>DonenVarlik!A3</f>
        <v>Mutfak/banyo mobilyası</v>
      </c>
      <c r="B31" s="37">
        <f>B$2*DonenVarlik!$E3*DonenVarlik!$H3</f>
        <v>310</v>
      </c>
      <c r="C31" s="37">
        <f>C$2*DonenVarlik!$E3*DonenVarlik!$H3</f>
        <v>290</v>
      </c>
      <c r="D31" s="37">
        <f>D$2*DonenVarlik!$E3*DonenVarlik!$H3</f>
        <v>310</v>
      </c>
      <c r="E31" s="37">
        <f>E$2*DonenVarlik!$E3*DonenVarlik!$I3</f>
        <v>300</v>
      </c>
      <c r="F31" s="37">
        <f>F$2*DonenVarlik!$E3*DonenVarlik!$I3</f>
        <v>310</v>
      </c>
      <c r="G31" s="37">
        <f>G$2*DonenVarlik!$E3*DonenVarlik!$I3</f>
        <v>300</v>
      </c>
      <c r="H31" s="37">
        <f>H$2*DonenVarlik!$E3*DonenVarlik!$I3</f>
        <v>310</v>
      </c>
      <c r="I31" s="37">
        <f>I$2*DonenVarlik!$E3*DonenVarlik!$I3</f>
        <v>310</v>
      </c>
      <c r="J31" s="37">
        <f>J$2*DonenVarlik!$E3*DonenVarlik!$I3</f>
        <v>300</v>
      </c>
      <c r="K31" s="37">
        <f>K$2*DonenVarlik!$E3*DonenVarlik!$I3</f>
        <v>310</v>
      </c>
      <c r="L31" s="37">
        <f>L$2*DonenVarlik!$E3*DonenVarlik!$I3</f>
        <v>300</v>
      </c>
      <c r="M31" s="37">
        <f>$M$2*DonenVarlik!$E3*DonenVarlik!$H3</f>
        <v>300</v>
      </c>
      <c r="N31" s="37">
        <f t="shared" ref="N31:N33" si="6">SUM(B31:M31)</f>
        <v>3650</v>
      </c>
    </row>
    <row r="32" spans="1:14" x14ac:dyDescent="0.25">
      <c r="A32" s="35" t="str">
        <f>DonenVarlik!A4</f>
        <v>Yatak Odası</v>
      </c>
      <c r="B32" s="37">
        <f>B$2*DonenVarlik!$E4*DonenVarlik!$H4</f>
        <v>25.479452054794518</v>
      </c>
      <c r="C32" s="37">
        <f>C$2*DonenVarlik!$E4*DonenVarlik!$H4</f>
        <v>23.835616438356162</v>
      </c>
      <c r="D32" s="37">
        <f>D$2*DonenVarlik!$E4*DonenVarlik!$H4</f>
        <v>25.479452054794518</v>
      </c>
      <c r="E32" s="37">
        <f>E$2*DonenVarlik!$E4*DonenVarlik!$I4</f>
        <v>24.657534246575342</v>
      </c>
      <c r="F32" s="37">
        <f>F$2*DonenVarlik!$E4*DonenVarlik!$I4</f>
        <v>25.479452054794518</v>
      </c>
      <c r="G32" s="37">
        <f>G$2*DonenVarlik!$E4*DonenVarlik!$I4</f>
        <v>24.657534246575342</v>
      </c>
      <c r="H32" s="37">
        <f>H$2*DonenVarlik!$E4*DonenVarlik!$I4</f>
        <v>25.479452054794518</v>
      </c>
      <c r="I32" s="37">
        <f>I$2*DonenVarlik!$E4*DonenVarlik!$I4</f>
        <v>25.479452054794518</v>
      </c>
      <c r="J32" s="37">
        <f>J$2*DonenVarlik!$E4*DonenVarlik!$I4</f>
        <v>24.657534246575342</v>
      </c>
      <c r="K32" s="37">
        <f>K$2*DonenVarlik!$E4*DonenVarlik!$I4</f>
        <v>25.479452054794518</v>
      </c>
      <c r="L32" s="37">
        <f>L$2*DonenVarlik!$E4*DonenVarlik!$I4</f>
        <v>24.657534246575342</v>
      </c>
      <c r="M32" s="37">
        <f>$M$2*DonenVarlik!$E4*DonenVarlik!$H4</f>
        <v>24.657534246575342</v>
      </c>
      <c r="N32" s="37">
        <f t="shared" si="6"/>
        <v>299.99999999999994</v>
      </c>
    </row>
    <row r="33" spans="1:14" x14ac:dyDescent="0.25">
      <c r="A33" s="35" t="str">
        <f>DonenVarlik!A5</f>
        <v>Çocuk Odası</v>
      </c>
      <c r="B33" s="37">
        <f>B$2*DonenVarlik!$E5*DonenVarlik!$H5</f>
        <v>5.095890410958904</v>
      </c>
      <c r="C33" s="37">
        <f>C$2*DonenVarlik!$E5*DonenVarlik!$H5</f>
        <v>4.7671232876712333</v>
      </c>
      <c r="D33" s="37">
        <f>D$2*DonenVarlik!$E5*DonenVarlik!$H5</f>
        <v>5.095890410958904</v>
      </c>
      <c r="E33" s="37">
        <f>E$2*DonenVarlik!$E5*DonenVarlik!$I5</f>
        <v>4.9315068493150687</v>
      </c>
      <c r="F33" s="37">
        <f>F$2*DonenVarlik!$E5*DonenVarlik!$I5</f>
        <v>5.095890410958904</v>
      </c>
      <c r="G33" s="37">
        <f>G$2*DonenVarlik!$E5*DonenVarlik!$I5</f>
        <v>4.9315068493150687</v>
      </c>
      <c r="H33" s="37">
        <f>H$2*DonenVarlik!$E5*DonenVarlik!$I5</f>
        <v>5.095890410958904</v>
      </c>
      <c r="I33" s="37">
        <f>I$2*DonenVarlik!$E5*DonenVarlik!$I5</f>
        <v>5.095890410958904</v>
      </c>
      <c r="J33" s="37">
        <f>J$2*DonenVarlik!$E5*DonenVarlik!$I5</f>
        <v>4.9315068493150687</v>
      </c>
      <c r="K33" s="37">
        <f>K$2*DonenVarlik!$E5*DonenVarlik!$I5</f>
        <v>5.095890410958904</v>
      </c>
      <c r="L33" s="37">
        <f>L$2*DonenVarlik!$E5*DonenVarlik!$I5</f>
        <v>4.9315068493150687</v>
      </c>
      <c r="M33" s="37">
        <f>$M$2*DonenVarlik!$E5*DonenVarlik!$H5</f>
        <v>4.9315068493150687</v>
      </c>
      <c r="N33" s="37">
        <f t="shared" si="6"/>
        <v>60</v>
      </c>
    </row>
    <row r="34" spans="1:14" x14ac:dyDescent="0.25">
      <c r="A34" s="35" t="s">
        <v>10</v>
      </c>
      <c r="B34" s="37">
        <f t="shared" ref="B34:N34" si="7">SUM(B30:B33)</f>
        <v>418.07534246575347</v>
      </c>
      <c r="C34" s="37">
        <f t="shared" si="7"/>
        <v>391.10273972602738</v>
      </c>
      <c r="D34" s="37">
        <f t="shared" si="7"/>
        <v>418.07534246575347</v>
      </c>
      <c r="E34" s="37">
        <f t="shared" si="7"/>
        <v>404.58904109589037</v>
      </c>
      <c r="F34" s="37">
        <f t="shared" si="7"/>
        <v>418.07534246575347</v>
      </c>
      <c r="G34" s="37">
        <f t="shared" si="7"/>
        <v>404.58904109589037</v>
      </c>
      <c r="H34" s="37">
        <f t="shared" si="7"/>
        <v>418.07534246575347</v>
      </c>
      <c r="I34" s="37">
        <f t="shared" si="7"/>
        <v>418.07534246575347</v>
      </c>
      <c r="J34" s="37">
        <f t="shared" si="7"/>
        <v>404.58904109589037</v>
      </c>
      <c r="K34" s="37">
        <f t="shared" si="7"/>
        <v>418.07534246575347</v>
      </c>
      <c r="L34" s="37">
        <f t="shared" si="7"/>
        <v>404.58904109589037</v>
      </c>
      <c r="M34" s="37">
        <f t="shared" si="7"/>
        <v>404.58904109589037</v>
      </c>
      <c r="N34" s="8">
        <f t="shared" si="7"/>
        <v>4922.5</v>
      </c>
    </row>
  </sheetData>
  <mergeCells count="5">
    <mergeCell ref="A4:N4"/>
    <mergeCell ref="A12:N12"/>
    <mergeCell ref="A20:N20"/>
    <mergeCell ref="A1:N1"/>
    <mergeCell ref="A28:N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5"/>
  <sheetViews>
    <sheetView zoomScaleNormal="100" workbookViewId="0">
      <selection activeCell="B9" sqref="B9"/>
    </sheetView>
  </sheetViews>
  <sheetFormatPr defaultRowHeight="15" x14ac:dyDescent="0.25"/>
  <cols>
    <col min="1" max="1" width="17.42578125" bestFit="1" customWidth="1"/>
    <col min="2" max="2" width="9.85546875" bestFit="1" customWidth="1"/>
    <col min="3" max="6" width="11.28515625" bestFit="1" customWidth="1"/>
    <col min="7" max="7" width="14.5703125" customWidth="1"/>
    <col min="8" max="8" width="11" customWidth="1"/>
    <col min="9" max="9" width="10.28515625" bestFit="1" customWidth="1"/>
    <col min="10" max="13" width="9.85546875" bestFit="1" customWidth="1"/>
    <col min="14" max="14" width="11.7109375" bestFit="1" customWidth="1"/>
  </cols>
  <sheetData>
    <row r="1" spans="1:15" ht="29.25" customHeight="1" x14ac:dyDescent="0.25">
      <c r="A1" s="95" t="str">
        <f>YillikMaliyetTahmini!A1</f>
        <v>2012 YILI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5" x14ac:dyDescent="0.25">
      <c r="A2" s="32" t="s">
        <v>60</v>
      </c>
      <c r="B2" s="34">
        <f>YillikMaliyetTahmini!B2</f>
        <v>31</v>
      </c>
      <c r="C2" s="34">
        <f>YillikMaliyetTahmini!C2</f>
        <v>29</v>
      </c>
      <c r="D2" s="34">
        <f>YillikMaliyetTahmini!D2</f>
        <v>31</v>
      </c>
      <c r="E2" s="34">
        <f>YillikMaliyetTahmini!E2</f>
        <v>30</v>
      </c>
      <c r="F2" s="34">
        <f>YillikMaliyetTahmini!F2</f>
        <v>31</v>
      </c>
      <c r="G2" s="34">
        <f>YillikMaliyetTahmini!G2</f>
        <v>30</v>
      </c>
      <c r="H2" s="34">
        <f>YillikMaliyetTahmini!H2</f>
        <v>31</v>
      </c>
      <c r="I2" s="34">
        <f>YillikMaliyetTahmini!I2</f>
        <v>31</v>
      </c>
      <c r="J2" s="34">
        <f>YillikMaliyetTahmini!J2</f>
        <v>30</v>
      </c>
      <c r="K2" s="34">
        <f>YillikMaliyetTahmini!K2</f>
        <v>31</v>
      </c>
      <c r="L2" s="34">
        <f>YillikMaliyetTahmini!L2</f>
        <v>30</v>
      </c>
      <c r="M2" s="34">
        <f>YillikMaliyetTahmini!M2</f>
        <v>30</v>
      </c>
      <c r="N2" s="34">
        <f>YillikMaliyetTahmini!N2</f>
        <v>0</v>
      </c>
    </row>
    <row r="3" spans="1:15" s="4" customFormat="1" x14ac:dyDescent="0.25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18.75" x14ac:dyDescent="0.25">
      <c r="A4" s="92" t="s">
        <v>18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5" x14ac:dyDescent="0.25">
      <c r="A5" s="32" t="s">
        <v>11</v>
      </c>
      <c r="B5" s="34" t="s">
        <v>15</v>
      </c>
      <c r="C5" s="34" t="s">
        <v>0</v>
      </c>
      <c r="D5" s="34" t="s">
        <v>1</v>
      </c>
      <c r="E5" s="34" t="s">
        <v>2</v>
      </c>
      <c r="F5" s="34" t="s">
        <v>3</v>
      </c>
      <c r="G5" s="34" t="s">
        <v>4</v>
      </c>
      <c r="H5" s="34" t="s">
        <v>9</v>
      </c>
      <c r="I5" s="34" t="s">
        <v>5</v>
      </c>
      <c r="J5" s="34" t="s">
        <v>6</v>
      </c>
      <c r="K5" s="34" t="s">
        <v>7</v>
      </c>
      <c r="L5" s="34" t="s">
        <v>8</v>
      </c>
      <c r="M5" s="34" t="s">
        <v>14</v>
      </c>
      <c r="N5" s="34" t="s">
        <v>10</v>
      </c>
    </row>
    <row r="6" spans="1:15" x14ac:dyDescent="0.25">
      <c r="A6" s="35" t="str">
        <f>DonenVarlik!A2</f>
        <v>Kapı</v>
      </c>
      <c r="B6" s="37">
        <f>B$2*DonenVarlik!$N2</f>
        <v>4650</v>
      </c>
      <c r="C6" s="37">
        <f>C$2*DonenVarlik!$N2</f>
        <v>4350</v>
      </c>
      <c r="D6" s="37">
        <f>D$2*DonenVarlik!$N2</f>
        <v>4650</v>
      </c>
      <c r="E6" s="37">
        <f>E$2*DonenVarlik!$O2</f>
        <v>4500</v>
      </c>
      <c r="F6" s="37">
        <f>F$2*DonenVarlik!$O2</f>
        <v>4650</v>
      </c>
      <c r="G6" s="37">
        <f>G$2*DonenVarlik!$O2</f>
        <v>4500</v>
      </c>
      <c r="H6" s="37">
        <f>H$2*DonenVarlik!$O2</f>
        <v>4650</v>
      </c>
      <c r="I6" s="37">
        <f>I$2*DonenVarlik!$O2</f>
        <v>4650</v>
      </c>
      <c r="J6" s="37">
        <f>J$2*DonenVarlik!$O2</f>
        <v>4500</v>
      </c>
      <c r="K6" s="37">
        <f>K$2*DonenVarlik!$O2</f>
        <v>4650</v>
      </c>
      <c r="L6" s="37">
        <f>L$2*DonenVarlik!$O2</f>
        <v>4500</v>
      </c>
      <c r="M6" s="37">
        <f>$M$2*DonenVarlik!N2</f>
        <v>4500</v>
      </c>
      <c r="N6" s="37">
        <f>SUM(B6:M6)</f>
        <v>54750</v>
      </c>
      <c r="O6" s="27"/>
    </row>
    <row r="7" spans="1:15" x14ac:dyDescent="0.25">
      <c r="A7" s="35" t="str">
        <f>DonenVarlik!A3</f>
        <v>Mutfak/banyo mobilyası</v>
      </c>
      <c r="B7" s="37">
        <f>B$2*DonenVarlik!$N3</f>
        <v>12400</v>
      </c>
      <c r="C7" s="37">
        <f>C$2*DonenVarlik!$N3</f>
        <v>11600</v>
      </c>
      <c r="D7" s="37">
        <f>D$2*DonenVarlik!$N3</f>
        <v>12400</v>
      </c>
      <c r="E7" s="37">
        <f>E$2*DonenVarlik!$O3</f>
        <v>12000</v>
      </c>
      <c r="F7" s="37">
        <f>F$2*DonenVarlik!$O3</f>
        <v>12400</v>
      </c>
      <c r="G7" s="37">
        <f>G$2*DonenVarlik!$O3</f>
        <v>12000</v>
      </c>
      <c r="H7" s="37">
        <f>H$2*DonenVarlik!$O3</f>
        <v>12400</v>
      </c>
      <c r="I7" s="37">
        <f>I$2*DonenVarlik!$O3</f>
        <v>12400</v>
      </c>
      <c r="J7" s="37">
        <f>J$2*DonenVarlik!$O3</f>
        <v>12000</v>
      </c>
      <c r="K7" s="37">
        <f>K$2*DonenVarlik!$O3</f>
        <v>12400</v>
      </c>
      <c r="L7" s="37">
        <f>L$2*DonenVarlik!$O3</f>
        <v>12000</v>
      </c>
      <c r="M7" s="37">
        <f>$M$2*DonenVarlik!N3</f>
        <v>12000</v>
      </c>
      <c r="N7" s="37">
        <f t="shared" ref="N7:N9" si="0">SUM(B7:M7)</f>
        <v>146000</v>
      </c>
      <c r="O7" s="27"/>
    </row>
    <row r="8" spans="1:15" x14ac:dyDescent="0.25">
      <c r="A8" s="35" t="str">
        <f>DonenVarlik!A4</f>
        <v>Yatak Odası</v>
      </c>
      <c r="B8" s="37">
        <f>B$2*DonenVarlik!$N4</f>
        <v>1273.972602739726</v>
      </c>
      <c r="C8" s="37">
        <f>C$2*DonenVarlik!$N4</f>
        <v>1191.7808219178082</v>
      </c>
      <c r="D8" s="37">
        <f>D$2*DonenVarlik!$N4</f>
        <v>1273.972602739726</v>
      </c>
      <c r="E8" s="37">
        <f>E$2*DonenVarlik!$O4</f>
        <v>1232.8767123287671</v>
      </c>
      <c r="F8" s="37">
        <f>F$2*DonenVarlik!$O4</f>
        <v>1273.972602739726</v>
      </c>
      <c r="G8" s="37">
        <f>G$2*DonenVarlik!$O4</f>
        <v>1232.8767123287671</v>
      </c>
      <c r="H8" s="37">
        <f>H$2*DonenVarlik!$O4</f>
        <v>1273.972602739726</v>
      </c>
      <c r="I8" s="37">
        <f>I$2*DonenVarlik!$O4</f>
        <v>1273.972602739726</v>
      </c>
      <c r="J8" s="37">
        <f>J$2*DonenVarlik!$O4</f>
        <v>1232.8767123287671</v>
      </c>
      <c r="K8" s="37">
        <f>K$2*DonenVarlik!$O4</f>
        <v>1273.972602739726</v>
      </c>
      <c r="L8" s="37">
        <f>L$2*DonenVarlik!$O4</f>
        <v>1232.8767123287671</v>
      </c>
      <c r="M8" s="37">
        <f>$M$2*DonenVarlik!N4</f>
        <v>1232.8767123287671</v>
      </c>
      <c r="N8" s="37">
        <f t="shared" si="0"/>
        <v>15000.000000000002</v>
      </c>
      <c r="O8" s="27"/>
    </row>
    <row r="9" spans="1:15" x14ac:dyDescent="0.25">
      <c r="A9" s="35" t="str">
        <f>DonenVarlik!A5</f>
        <v>Çocuk Odası</v>
      </c>
      <c r="B9" s="37">
        <f>B$2*DonenVarlik!$N5</f>
        <v>254.79452054794524</v>
      </c>
      <c r="C9" s="37">
        <f>C$2*DonenVarlik!$N5</f>
        <v>238.35616438356166</v>
      </c>
      <c r="D9" s="37">
        <f>D$2*DonenVarlik!$N5</f>
        <v>254.79452054794524</v>
      </c>
      <c r="E9" s="37">
        <f>E$2*DonenVarlik!$O5</f>
        <v>246.57534246575347</v>
      </c>
      <c r="F9" s="37">
        <f>F$2*DonenVarlik!$O5</f>
        <v>254.79452054794524</v>
      </c>
      <c r="G9" s="37">
        <f>G$2*DonenVarlik!$O5</f>
        <v>246.57534246575347</v>
      </c>
      <c r="H9" s="37">
        <f>H$2*DonenVarlik!$O5</f>
        <v>254.79452054794524</v>
      </c>
      <c r="I9" s="37">
        <f>I$2*DonenVarlik!$O5</f>
        <v>254.79452054794524</v>
      </c>
      <c r="J9" s="37">
        <f>J$2*DonenVarlik!$O5</f>
        <v>246.57534246575347</v>
      </c>
      <c r="K9" s="37">
        <f>K$2*DonenVarlik!$O5</f>
        <v>254.79452054794524</v>
      </c>
      <c r="L9" s="37">
        <f>L$2*DonenVarlik!$O5</f>
        <v>246.57534246575347</v>
      </c>
      <c r="M9" s="37">
        <f>$M$2*DonenVarlik!N5</f>
        <v>246.57534246575347</v>
      </c>
      <c r="N9" s="37">
        <f t="shared" si="0"/>
        <v>3000</v>
      </c>
      <c r="O9" s="27"/>
    </row>
    <row r="10" spans="1:15" x14ac:dyDescent="0.25">
      <c r="A10" s="35" t="s">
        <v>10</v>
      </c>
      <c r="B10" s="37">
        <f t="shared" ref="B10:N10" si="1">SUM(B6:B9)</f>
        <v>18578.767123287671</v>
      </c>
      <c r="C10" s="37">
        <f t="shared" si="1"/>
        <v>17380.136986301368</v>
      </c>
      <c r="D10" s="37">
        <f t="shared" si="1"/>
        <v>18578.767123287671</v>
      </c>
      <c r="E10" s="37">
        <f t="shared" si="1"/>
        <v>17979.452054794521</v>
      </c>
      <c r="F10" s="37">
        <f t="shared" si="1"/>
        <v>18578.767123287671</v>
      </c>
      <c r="G10" s="37">
        <f t="shared" si="1"/>
        <v>17979.452054794521</v>
      </c>
      <c r="H10" s="37">
        <f t="shared" si="1"/>
        <v>18578.767123287671</v>
      </c>
      <c r="I10" s="37">
        <f t="shared" si="1"/>
        <v>18578.767123287671</v>
      </c>
      <c r="J10" s="37">
        <f t="shared" si="1"/>
        <v>17979.452054794521</v>
      </c>
      <c r="K10" s="37">
        <f t="shared" si="1"/>
        <v>18578.767123287671</v>
      </c>
      <c r="L10" s="37">
        <f t="shared" si="1"/>
        <v>17979.452054794521</v>
      </c>
      <c r="M10" s="37">
        <f t="shared" si="1"/>
        <v>17979.452054794521</v>
      </c>
      <c r="N10" s="8">
        <f t="shared" si="1"/>
        <v>218750</v>
      </c>
    </row>
    <row r="11" spans="1:15" x14ac:dyDescent="0.25">
      <c r="A11" t="s">
        <v>172</v>
      </c>
      <c r="B11" s="9">
        <f>B10</f>
        <v>18578.767123287671</v>
      </c>
      <c r="C11" s="9">
        <f>B11+C10</f>
        <v>35958.904109589042</v>
      </c>
      <c r="D11" s="9">
        <f t="shared" ref="D11:N11" si="2">C11+D10</f>
        <v>54537.671232876717</v>
      </c>
      <c r="E11" s="9">
        <f t="shared" si="2"/>
        <v>72517.123287671246</v>
      </c>
      <c r="F11" s="9">
        <f t="shared" si="2"/>
        <v>91095.89041095892</v>
      </c>
      <c r="G11" s="9">
        <f t="shared" si="2"/>
        <v>109075.34246575343</v>
      </c>
      <c r="H11" s="9">
        <f t="shared" si="2"/>
        <v>127654.10958904111</v>
      </c>
      <c r="I11" s="9">
        <f t="shared" si="2"/>
        <v>146232.87671232878</v>
      </c>
      <c r="J11" s="9">
        <f t="shared" si="2"/>
        <v>164212.32876712331</v>
      </c>
      <c r="K11" s="9">
        <f t="shared" si="2"/>
        <v>182791.09589041097</v>
      </c>
      <c r="L11" s="9">
        <f t="shared" si="2"/>
        <v>200770.5479452055</v>
      </c>
      <c r="M11" s="9">
        <f t="shared" si="2"/>
        <v>218750.00000000003</v>
      </c>
      <c r="N11" s="9"/>
    </row>
    <row r="15" spans="1:15" x14ac:dyDescent="0.25">
      <c r="G15" s="9"/>
    </row>
  </sheetData>
  <mergeCells count="2">
    <mergeCell ref="A1:N1"/>
    <mergeCell ref="A4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0"/>
  <sheetViews>
    <sheetView zoomScale="170" zoomScaleNormal="170" workbookViewId="0">
      <selection activeCell="C7" sqref="C7"/>
    </sheetView>
  </sheetViews>
  <sheetFormatPr defaultRowHeight="15" x14ac:dyDescent="0.25"/>
  <cols>
    <col min="1" max="1" width="22.85546875" bestFit="1" customWidth="1"/>
    <col min="2" max="6" width="12.28515625" bestFit="1" customWidth="1"/>
  </cols>
  <sheetData>
    <row r="1" spans="1:6" ht="18.75" x14ac:dyDescent="0.3">
      <c r="A1" s="97" t="s">
        <v>54</v>
      </c>
      <c r="B1" s="97"/>
      <c r="C1" s="97"/>
      <c r="D1" s="97"/>
      <c r="E1" s="97"/>
      <c r="F1" s="97"/>
    </row>
    <row r="2" spans="1:6" x14ac:dyDescent="0.25">
      <c r="A2" s="38" t="s">
        <v>49</v>
      </c>
      <c r="B2" s="39" t="s">
        <v>37</v>
      </c>
      <c r="C2" s="39" t="s">
        <v>50</v>
      </c>
      <c r="D2" s="39" t="s">
        <v>51</v>
      </c>
      <c r="E2" s="39" t="s">
        <v>52</v>
      </c>
      <c r="F2" s="39" t="s">
        <v>53</v>
      </c>
    </row>
    <row r="3" spans="1:6" x14ac:dyDescent="0.25">
      <c r="A3" s="35" t="str">
        <f>DonenVarlik!A2</f>
        <v>Kapı</v>
      </c>
      <c r="B3" s="37">
        <f>YillikSatisTahmini!N6</f>
        <v>54750</v>
      </c>
      <c r="C3" s="40">
        <f>B3*1.1</f>
        <v>60225.000000000007</v>
      </c>
      <c r="D3" s="40">
        <f>C3*1.1</f>
        <v>66247.500000000015</v>
      </c>
      <c r="E3" s="40">
        <f>D3*1.1</f>
        <v>72872.250000000029</v>
      </c>
      <c r="F3" s="40">
        <f>E3*1.1</f>
        <v>80159.475000000035</v>
      </c>
    </row>
    <row r="4" spans="1:6" x14ac:dyDescent="0.25">
      <c r="A4" s="35" t="str">
        <f>DonenVarlik!A3</f>
        <v>Mutfak/banyo mobilyası</v>
      </c>
      <c r="B4" s="37">
        <f>YillikSatisTahmini!N7</f>
        <v>146000</v>
      </c>
      <c r="C4" s="40">
        <f t="shared" ref="C4:F4" si="0">B4*1.1</f>
        <v>160600</v>
      </c>
      <c r="D4" s="40">
        <f t="shared" si="0"/>
        <v>176660</v>
      </c>
      <c r="E4" s="40">
        <f t="shared" si="0"/>
        <v>194326.00000000003</v>
      </c>
      <c r="F4" s="40">
        <f t="shared" si="0"/>
        <v>213758.60000000003</v>
      </c>
    </row>
    <row r="5" spans="1:6" x14ac:dyDescent="0.25">
      <c r="A5" s="35" t="str">
        <f>DonenVarlik!A4</f>
        <v>Yatak Odası</v>
      </c>
      <c r="B5" s="37">
        <f>YillikSatisTahmini!N8</f>
        <v>15000.000000000002</v>
      </c>
      <c r="C5" s="40">
        <f t="shared" ref="C5:F5" si="1">B5*1.1</f>
        <v>16500.000000000004</v>
      </c>
      <c r="D5" s="40">
        <f t="shared" si="1"/>
        <v>18150.000000000007</v>
      </c>
      <c r="E5" s="40">
        <f t="shared" si="1"/>
        <v>19965.000000000011</v>
      </c>
      <c r="F5" s="40">
        <f t="shared" si="1"/>
        <v>21961.500000000015</v>
      </c>
    </row>
    <row r="6" spans="1:6" x14ac:dyDescent="0.25">
      <c r="A6" s="35" t="str">
        <f>DonenVarlik!A5</f>
        <v>Çocuk Odası</v>
      </c>
      <c r="B6" s="37">
        <f>YillikSatisTahmini!N9</f>
        <v>3000</v>
      </c>
      <c r="C6" s="40">
        <f t="shared" ref="C6:F6" si="2">B6*1.1</f>
        <v>3300.0000000000005</v>
      </c>
      <c r="D6" s="40">
        <f t="shared" si="2"/>
        <v>3630.0000000000009</v>
      </c>
      <c r="E6" s="40">
        <f t="shared" si="2"/>
        <v>3993.0000000000014</v>
      </c>
      <c r="F6" s="40">
        <f t="shared" si="2"/>
        <v>4392.300000000002</v>
      </c>
    </row>
    <row r="7" spans="1:6" x14ac:dyDescent="0.25">
      <c r="A7" s="35" t="s">
        <v>10</v>
      </c>
      <c r="B7" s="40">
        <f>SUM(B3:B6)</f>
        <v>218750</v>
      </c>
      <c r="C7" s="40">
        <f>SUM(C3:C6)</f>
        <v>240625</v>
      </c>
      <c r="D7" s="40">
        <f>SUM(D3:D6)</f>
        <v>264687.5</v>
      </c>
      <c r="E7" s="40">
        <f>SUM(E3:E6)</f>
        <v>291156.25000000006</v>
      </c>
      <c r="F7" s="40">
        <f>SUM(F3:F6)</f>
        <v>320271.87500000006</v>
      </c>
    </row>
    <row r="10" spans="1:6" x14ac:dyDescent="0.25">
      <c r="D10" s="29"/>
      <c r="E10" s="29"/>
      <c r="F10" s="2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zoomScale="130" zoomScaleNormal="130" workbookViewId="0">
      <selection activeCell="G16" sqref="G16"/>
    </sheetView>
  </sheetViews>
  <sheetFormatPr defaultRowHeight="15" x14ac:dyDescent="0.25"/>
  <cols>
    <col min="1" max="1" width="3.28515625" bestFit="1" customWidth="1"/>
    <col min="2" max="2" width="35" bestFit="1" customWidth="1"/>
    <col min="3" max="3" width="9.85546875" bestFit="1" customWidth="1"/>
    <col min="4" max="4" width="12.7109375" bestFit="1" customWidth="1"/>
    <col min="5" max="5" width="3.28515625" customWidth="1"/>
    <col min="6" max="6" width="3" bestFit="1" customWidth="1"/>
    <col min="7" max="7" width="35" bestFit="1" customWidth="1"/>
    <col min="8" max="8" width="9.85546875" bestFit="1" customWidth="1"/>
    <col min="9" max="9" width="12.7109375" bestFit="1" customWidth="1"/>
    <col min="10" max="16" width="9.140625" customWidth="1"/>
  </cols>
  <sheetData>
    <row r="1" spans="1:9" ht="18.75" x14ac:dyDescent="0.25">
      <c r="A1" s="98" t="s">
        <v>63</v>
      </c>
      <c r="B1" s="98"/>
      <c r="C1" s="98"/>
      <c r="D1" s="41">
        <f>D3+D19+D25</f>
        <v>96709.4</v>
      </c>
      <c r="E1" s="15"/>
      <c r="F1" s="98" t="s">
        <v>64</v>
      </c>
      <c r="G1" s="98"/>
      <c r="H1" s="98"/>
      <c r="I1" s="41">
        <f>I3+I19</f>
        <v>81130</v>
      </c>
    </row>
    <row r="2" spans="1:9" ht="7.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01" t="s">
        <v>62</v>
      </c>
      <c r="B3" s="101"/>
      <c r="C3" s="101"/>
      <c r="D3" s="42">
        <f>SUM(C4:C17)</f>
        <v>92252.4</v>
      </c>
      <c r="E3" s="12"/>
      <c r="F3" s="101" t="s">
        <v>61</v>
      </c>
      <c r="G3" s="101"/>
      <c r="H3" s="101"/>
      <c r="I3" s="42">
        <f>SUM(H4:H17)</f>
        <v>78180</v>
      </c>
    </row>
    <row r="4" spans="1:9" x14ac:dyDescent="0.25">
      <c r="A4" s="43">
        <v>1</v>
      </c>
      <c r="B4" s="44" t="str">
        <f>G4</f>
        <v>14.4 V Şarjlı Matkap</v>
      </c>
      <c r="C4" s="45">
        <f>H4*1.18</f>
        <v>531</v>
      </c>
      <c r="D4" s="4"/>
      <c r="E4" s="4"/>
      <c r="F4" s="5">
        <v>1</v>
      </c>
      <c r="G4" s="13" t="s">
        <v>126</v>
      </c>
      <c r="H4" s="18">
        <v>450</v>
      </c>
      <c r="I4" s="4"/>
    </row>
    <row r="5" spans="1:9" x14ac:dyDescent="0.25">
      <c r="A5" s="43">
        <v>2</v>
      </c>
      <c r="B5" s="44" t="str">
        <f t="shared" ref="B5:B17" si="0">G5</f>
        <v>Sunta Kesme Makinesi</v>
      </c>
      <c r="C5" s="45">
        <f t="shared" ref="C5:C17" si="1">H5*1.18</f>
        <v>531</v>
      </c>
      <c r="D5" s="4"/>
      <c r="E5" s="4"/>
      <c r="F5" s="5">
        <v>2</v>
      </c>
      <c r="G5" s="13" t="s">
        <v>127</v>
      </c>
      <c r="H5" s="18">
        <v>450</v>
      </c>
      <c r="I5" s="4"/>
    </row>
    <row r="6" spans="1:9" x14ac:dyDescent="0.25">
      <c r="A6" s="43">
        <v>3</v>
      </c>
      <c r="B6" s="44" t="str">
        <f t="shared" si="0"/>
        <v>500 lt. Kompresör</v>
      </c>
      <c r="C6" s="45">
        <f t="shared" si="1"/>
        <v>3540</v>
      </c>
      <c r="D6" s="4"/>
      <c r="E6" s="4"/>
      <c r="F6" s="5">
        <v>3</v>
      </c>
      <c r="G6" s="13" t="s">
        <v>128</v>
      </c>
      <c r="H6" s="18">
        <v>3000</v>
      </c>
      <c r="I6" s="4"/>
    </row>
    <row r="7" spans="1:9" x14ac:dyDescent="0.25">
      <c r="A7" s="43">
        <v>4</v>
      </c>
      <c r="B7" s="44" t="str">
        <f t="shared" si="0"/>
        <v>Tas Menteşe Makinesi</v>
      </c>
      <c r="C7" s="45">
        <f t="shared" si="1"/>
        <v>944</v>
      </c>
      <c r="D7" s="4"/>
      <c r="E7" s="4"/>
      <c r="F7" s="5">
        <v>4</v>
      </c>
      <c r="G7" s="13" t="s">
        <v>129</v>
      </c>
      <c r="H7" s="18">
        <v>800</v>
      </c>
      <c r="I7" s="4"/>
    </row>
    <row r="8" spans="1:9" x14ac:dyDescent="0.25">
      <c r="A8" s="43">
        <v>5</v>
      </c>
      <c r="B8" s="44" t="str">
        <f t="shared" si="0"/>
        <v>Gönye Kesme Makinesi</v>
      </c>
      <c r="C8" s="45">
        <f t="shared" si="1"/>
        <v>1003</v>
      </c>
      <c r="D8" s="4"/>
      <c r="E8" s="4"/>
      <c r="F8" s="5">
        <v>5</v>
      </c>
      <c r="G8" s="13" t="s">
        <v>130</v>
      </c>
      <c r="H8" s="18">
        <v>850</v>
      </c>
      <c r="I8" s="4"/>
    </row>
    <row r="9" spans="1:9" x14ac:dyDescent="0.25">
      <c r="A9" s="43">
        <v>6</v>
      </c>
      <c r="B9" s="44" t="str">
        <f t="shared" si="0"/>
        <v>2-26 Kırıcı- Delici</v>
      </c>
      <c r="C9" s="45">
        <f t="shared" si="1"/>
        <v>472</v>
      </c>
      <c r="D9" s="4"/>
      <c r="E9" s="4"/>
      <c r="F9" s="5">
        <v>6</v>
      </c>
      <c r="G9" s="13" t="s">
        <v>134</v>
      </c>
      <c r="H9" s="18">
        <v>400</v>
      </c>
      <c r="I9" s="4"/>
    </row>
    <row r="10" spans="1:9" x14ac:dyDescent="0.25">
      <c r="A10" s="43">
        <v>7</v>
      </c>
      <c r="B10" s="44" t="str">
        <f t="shared" si="0"/>
        <v>El frezesi</v>
      </c>
      <c r="C10" s="45">
        <f t="shared" si="1"/>
        <v>826</v>
      </c>
      <c r="D10" s="4"/>
      <c r="E10" s="4"/>
      <c r="F10" s="5">
        <v>7</v>
      </c>
      <c r="G10" s="13" t="s">
        <v>131</v>
      </c>
      <c r="H10" s="18">
        <v>700</v>
      </c>
      <c r="I10" s="4"/>
    </row>
    <row r="11" spans="1:9" x14ac:dyDescent="0.25">
      <c r="A11" s="43">
        <v>8</v>
      </c>
      <c r="B11" s="44" t="str">
        <f t="shared" si="0"/>
        <v>Elektrikli titreşim makinesi</v>
      </c>
      <c r="C11" s="45">
        <f t="shared" si="1"/>
        <v>472</v>
      </c>
      <c r="D11" s="4"/>
      <c r="E11" s="4"/>
      <c r="F11" s="5">
        <v>8</v>
      </c>
      <c r="G11" s="13" t="s">
        <v>132</v>
      </c>
      <c r="H11" s="18">
        <v>400</v>
      </c>
      <c r="I11" s="4"/>
    </row>
    <row r="12" spans="1:9" x14ac:dyDescent="0.25">
      <c r="A12" s="43">
        <v>9</v>
      </c>
      <c r="B12" s="44" t="str">
        <f t="shared" si="0"/>
        <v>Darbesiz Matkap</v>
      </c>
      <c r="C12" s="45">
        <f t="shared" si="1"/>
        <v>177</v>
      </c>
      <c r="D12" s="4"/>
      <c r="E12" s="4"/>
      <c r="F12" s="5">
        <v>9</v>
      </c>
      <c r="G12" s="13" t="s">
        <v>133</v>
      </c>
      <c r="H12" s="18">
        <v>150</v>
      </c>
      <c r="I12" s="4"/>
    </row>
    <row r="13" spans="1:9" x14ac:dyDescent="0.25">
      <c r="A13" s="43">
        <v>10</v>
      </c>
      <c r="B13" s="44" t="str">
        <f t="shared" si="0"/>
        <v>Avuç taşlama makinesi</v>
      </c>
      <c r="C13" s="45">
        <f t="shared" si="1"/>
        <v>212.39999999999998</v>
      </c>
      <c r="D13" s="4"/>
      <c r="E13" s="4"/>
      <c r="F13" s="5">
        <v>10</v>
      </c>
      <c r="G13" s="13" t="s">
        <v>135</v>
      </c>
      <c r="H13" s="18">
        <v>180</v>
      </c>
      <c r="I13" s="4"/>
    </row>
    <row r="14" spans="1:9" x14ac:dyDescent="0.25">
      <c r="A14" s="43">
        <v>11</v>
      </c>
      <c r="B14" s="44" t="str">
        <f t="shared" si="0"/>
        <v>3200 Çizicili yatar</v>
      </c>
      <c r="C14" s="45">
        <f t="shared" si="1"/>
        <v>14160</v>
      </c>
      <c r="D14" s="4"/>
      <c r="E14" s="4"/>
      <c r="F14" s="5">
        <v>11</v>
      </c>
      <c r="G14" s="13" t="s">
        <v>136</v>
      </c>
      <c r="H14" s="18">
        <v>12000</v>
      </c>
      <c r="I14" s="4"/>
    </row>
    <row r="15" spans="1:9" x14ac:dyDescent="0.25">
      <c r="A15" s="43">
        <v>12</v>
      </c>
      <c r="B15" s="44" t="str">
        <f t="shared" si="0"/>
        <v>Toz emme ünitesi</v>
      </c>
      <c r="C15" s="45">
        <f t="shared" si="1"/>
        <v>944</v>
      </c>
      <c r="D15" s="4"/>
      <c r="E15" s="4"/>
      <c r="F15" s="5">
        <v>12</v>
      </c>
      <c r="G15" s="13" t="s">
        <v>137</v>
      </c>
      <c r="H15" s="18">
        <v>800</v>
      </c>
      <c r="I15" s="4"/>
    </row>
    <row r="16" spans="1:9" x14ac:dyDescent="0.25">
      <c r="A16" s="43">
        <v>13</v>
      </c>
      <c r="B16" s="44" t="str">
        <f t="shared" si="0"/>
        <v>Baş- son kesmeli bantlama makinesi</v>
      </c>
      <c r="C16" s="45">
        <f t="shared" si="1"/>
        <v>35400</v>
      </c>
      <c r="D16" s="4"/>
      <c r="E16" s="4"/>
      <c r="F16" s="5">
        <v>13</v>
      </c>
      <c r="G16" s="13" t="s">
        <v>153</v>
      </c>
      <c r="H16" s="18">
        <v>30000</v>
      </c>
      <c r="I16" s="4"/>
    </row>
    <row r="17" spans="1:16" x14ac:dyDescent="0.25">
      <c r="A17" s="43">
        <v>14</v>
      </c>
      <c r="B17" s="44" t="str">
        <f t="shared" si="0"/>
        <v>Kapı kilit kol yeri açma makinesi</v>
      </c>
      <c r="C17" s="45">
        <f t="shared" si="1"/>
        <v>33040</v>
      </c>
      <c r="D17" s="4"/>
      <c r="E17" s="4"/>
      <c r="F17" s="5">
        <v>14</v>
      </c>
      <c r="G17" s="13" t="s">
        <v>154</v>
      </c>
      <c r="H17" s="18">
        <v>28000</v>
      </c>
      <c r="I17" s="4"/>
    </row>
    <row r="18" spans="1:16" ht="7.5" customHeight="1" x14ac:dyDescent="0.25">
      <c r="A18" s="10"/>
      <c r="B18" s="4"/>
      <c r="C18" s="11"/>
      <c r="D18" s="4"/>
      <c r="E18" s="4"/>
      <c r="F18" s="10"/>
      <c r="G18" s="4"/>
      <c r="H18" s="11"/>
      <c r="I18" s="4"/>
    </row>
    <row r="19" spans="1:16" ht="15" customHeight="1" x14ac:dyDescent="0.25">
      <c r="A19" s="100" t="s">
        <v>46</v>
      </c>
      <c r="B19" s="100"/>
      <c r="C19" s="100"/>
      <c r="D19" s="42">
        <f>SUM(C20:C23)</f>
        <v>3481</v>
      </c>
      <c r="E19" s="12"/>
      <c r="F19" s="100" t="s">
        <v>46</v>
      </c>
      <c r="G19" s="100"/>
      <c r="H19" s="100"/>
      <c r="I19" s="42">
        <f>SUM(H20:H23)</f>
        <v>2950</v>
      </c>
    </row>
    <row r="20" spans="1:16" x14ac:dyDescent="0.25">
      <c r="A20" s="44">
        <v>1</v>
      </c>
      <c r="B20" s="44" t="str">
        <f>G20</f>
        <v>Ahşap büro takımı</v>
      </c>
      <c r="C20" s="45">
        <f>H20*1.18</f>
        <v>2124</v>
      </c>
      <c r="D20" s="4"/>
      <c r="E20" s="4"/>
      <c r="F20" s="13">
        <v>1</v>
      </c>
      <c r="G20" s="13" t="s">
        <v>138</v>
      </c>
      <c r="H20" s="18">
        <v>1800</v>
      </c>
      <c r="I20" s="4"/>
    </row>
    <row r="21" spans="1:16" x14ac:dyDescent="0.25">
      <c r="A21" s="44">
        <v>2</v>
      </c>
      <c r="B21" s="44" t="str">
        <f t="shared" ref="B21:B23" si="2">G21</f>
        <v>Müdür koltuğu</v>
      </c>
      <c r="C21" s="45">
        <f t="shared" ref="C21:C23" si="3">H21*1.18</f>
        <v>413</v>
      </c>
      <c r="D21" s="4"/>
      <c r="E21" s="4"/>
      <c r="F21" s="13">
        <v>2</v>
      </c>
      <c r="G21" s="13" t="s">
        <v>139</v>
      </c>
      <c r="H21" s="18">
        <v>350</v>
      </c>
      <c r="I21" s="4"/>
    </row>
    <row r="22" spans="1:16" x14ac:dyDescent="0.25">
      <c r="A22" s="44">
        <v>3</v>
      </c>
      <c r="B22" s="44" t="str">
        <f t="shared" si="2"/>
        <v>Misafir koltuğu (2 adet)</v>
      </c>
      <c r="C22" s="45">
        <f t="shared" si="3"/>
        <v>708</v>
      </c>
      <c r="D22" s="4"/>
      <c r="E22" s="4"/>
      <c r="F22" s="13">
        <v>3</v>
      </c>
      <c r="G22" s="13" t="s">
        <v>140</v>
      </c>
      <c r="H22" s="18">
        <v>600</v>
      </c>
      <c r="I22" s="4"/>
      <c r="K22" s="4"/>
      <c r="L22" s="4"/>
      <c r="M22" s="4"/>
      <c r="N22" s="9"/>
      <c r="O22" s="9"/>
      <c r="P22" s="9"/>
    </row>
    <row r="23" spans="1:16" x14ac:dyDescent="0.25">
      <c r="A23" s="44">
        <v>4</v>
      </c>
      <c r="B23" s="44" t="str">
        <f t="shared" si="2"/>
        <v>Dosya dolabı</v>
      </c>
      <c r="C23" s="45">
        <f t="shared" si="3"/>
        <v>236</v>
      </c>
      <c r="D23" s="4"/>
      <c r="E23" s="4"/>
      <c r="F23" s="13">
        <v>4</v>
      </c>
      <c r="G23" s="13" t="s">
        <v>141</v>
      </c>
      <c r="H23" s="18">
        <v>200</v>
      </c>
      <c r="I23" s="4"/>
      <c r="K23" s="4"/>
      <c r="L23" s="4"/>
      <c r="M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K24" s="4"/>
    </row>
    <row r="25" spans="1:16" x14ac:dyDescent="0.25">
      <c r="A25" s="100" t="s">
        <v>65</v>
      </c>
      <c r="B25" s="100"/>
      <c r="C25" s="100"/>
      <c r="D25" s="42">
        <f>SUM(C26:C34)</f>
        <v>976</v>
      </c>
      <c r="F25" s="100" t="s">
        <v>66</v>
      </c>
      <c r="G25" s="100"/>
      <c r="H25" s="100"/>
      <c r="I25" s="42">
        <f>SUM(H26:H34)</f>
        <v>976</v>
      </c>
      <c r="K25" s="4"/>
    </row>
    <row r="26" spans="1:16" ht="30" x14ac:dyDescent="0.25">
      <c r="A26" s="49">
        <v>1</v>
      </c>
      <c r="B26" s="50" t="s">
        <v>67</v>
      </c>
      <c r="C26" s="51">
        <v>0</v>
      </c>
      <c r="F26" s="46">
        <v>1</v>
      </c>
      <c r="G26" s="47" t="s">
        <v>67</v>
      </c>
      <c r="H26" s="48">
        <v>0</v>
      </c>
      <c r="I26" s="4"/>
      <c r="K26" s="4"/>
    </row>
    <row r="27" spans="1:16" ht="30" x14ac:dyDescent="0.25">
      <c r="A27" s="49">
        <v>2</v>
      </c>
      <c r="B27" s="50" t="s">
        <v>68</v>
      </c>
      <c r="C27" s="51">
        <v>0</v>
      </c>
      <c r="F27" s="46">
        <v>2</v>
      </c>
      <c r="G27" s="47" t="s">
        <v>68</v>
      </c>
      <c r="H27" s="48">
        <v>0</v>
      </c>
      <c r="I27" s="15"/>
      <c r="K27" s="4"/>
    </row>
    <row r="28" spans="1:16" x14ac:dyDescent="0.25">
      <c r="A28" s="49">
        <v>3</v>
      </c>
      <c r="B28" s="50" t="s">
        <v>69</v>
      </c>
      <c r="C28" s="51">
        <v>300</v>
      </c>
      <c r="F28" s="46">
        <v>3</v>
      </c>
      <c r="G28" s="47" t="s">
        <v>69</v>
      </c>
      <c r="H28" s="48">
        <v>300</v>
      </c>
      <c r="I28" s="12"/>
    </row>
    <row r="29" spans="1:16" ht="30" x14ac:dyDescent="0.25">
      <c r="A29" s="49">
        <v>4</v>
      </c>
      <c r="B29" s="50" t="s">
        <v>70</v>
      </c>
      <c r="C29" s="51">
        <v>240</v>
      </c>
      <c r="F29" s="46">
        <v>4</v>
      </c>
      <c r="G29" s="47" t="s">
        <v>70</v>
      </c>
      <c r="H29" s="48">
        <v>240</v>
      </c>
      <c r="I29" s="4"/>
    </row>
    <row r="30" spans="1:16" x14ac:dyDescent="0.25">
      <c r="A30" s="49">
        <v>5</v>
      </c>
      <c r="B30" s="50" t="s">
        <v>71</v>
      </c>
      <c r="C30" s="51">
        <v>0</v>
      </c>
      <c r="F30" s="46">
        <v>5</v>
      </c>
      <c r="G30" s="47" t="s">
        <v>71</v>
      </c>
      <c r="H30" s="48">
        <v>0</v>
      </c>
      <c r="I30" s="4"/>
    </row>
    <row r="31" spans="1:16" ht="30" x14ac:dyDescent="0.25">
      <c r="A31" s="49">
        <v>6</v>
      </c>
      <c r="B31" s="50" t="s">
        <v>72</v>
      </c>
      <c r="C31" s="51">
        <v>0</v>
      </c>
      <c r="F31" s="46">
        <v>6</v>
      </c>
      <c r="G31" s="47" t="s">
        <v>72</v>
      </c>
      <c r="H31" s="48">
        <v>0</v>
      </c>
      <c r="I31" s="4"/>
    </row>
    <row r="32" spans="1:16" x14ac:dyDescent="0.25">
      <c r="A32" s="49">
        <v>7</v>
      </c>
      <c r="B32" s="50" t="s">
        <v>73</v>
      </c>
      <c r="C32" s="51">
        <v>0</v>
      </c>
      <c r="F32" s="46">
        <v>7</v>
      </c>
      <c r="G32" s="47" t="s">
        <v>73</v>
      </c>
      <c r="H32" s="48">
        <v>0</v>
      </c>
      <c r="I32" s="4"/>
    </row>
    <row r="33" spans="1:11" ht="30" x14ac:dyDescent="0.25">
      <c r="A33" s="49">
        <v>8</v>
      </c>
      <c r="B33" s="50" t="s">
        <v>74</v>
      </c>
      <c r="C33" s="51">
        <v>436</v>
      </c>
      <c r="D33" s="13"/>
      <c r="E33" s="4"/>
      <c r="F33" s="46">
        <v>8</v>
      </c>
      <c r="G33" s="47" t="s">
        <v>74</v>
      </c>
      <c r="H33" s="48">
        <v>436</v>
      </c>
      <c r="I33" s="4"/>
    </row>
    <row r="34" spans="1:11" x14ac:dyDescent="0.25">
      <c r="A34" s="49">
        <v>9</v>
      </c>
      <c r="B34" s="50" t="s">
        <v>75</v>
      </c>
      <c r="C34" s="51">
        <v>0</v>
      </c>
      <c r="D34" s="13"/>
      <c r="E34" s="4"/>
      <c r="F34" s="46">
        <v>9</v>
      </c>
      <c r="G34" s="47" t="s">
        <v>75</v>
      </c>
      <c r="H34" s="48">
        <v>0</v>
      </c>
      <c r="I34" s="4"/>
    </row>
    <row r="35" spans="1:11" x14ac:dyDescent="0.25">
      <c r="A35" s="13"/>
      <c r="B35" s="13"/>
      <c r="C35" s="18"/>
      <c r="D35" s="13"/>
      <c r="E35" s="4"/>
      <c r="F35" s="4"/>
      <c r="G35" s="4"/>
      <c r="H35" s="4"/>
      <c r="I35" s="4"/>
    </row>
    <row r="36" spans="1:11" x14ac:dyDescent="0.25">
      <c r="A36" s="13"/>
      <c r="B36" s="13"/>
      <c r="C36" s="18"/>
      <c r="D36" s="13"/>
      <c r="E36" s="4"/>
      <c r="F36" s="4"/>
      <c r="G36" s="4"/>
      <c r="H36" s="4"/>
      <c r="I36" s="4"/>
    </row>
    <row r="37" spans="1:11" x14ac:dyDescent="0.25">
      <c r="A37" s="13"/>
      <c r="B37" s="13"/>
      <c r="C37" s="18"/>
      <c r="D37" s="13"/>
      <c r="E37" s="13"/>
      <c r="F37" s="13"/>
      <c r="G37" s="13"/>
      <c r="H37" s="13"/>
      <c r="I37" s="13"/>
      <c r="J37" s="17"/>
      <c r="K37" s="17"/>
    </row>
    <row r="38" spans="1:11" x14ac:dyDescent="0.25">
      <c r="A38" s="13"/>
      <c r="B38" s="13"/>
      <c r="C38" s="18"/>
      <c r="D38" s="13"/>
      <c r="E38" s="13"/>
      <c r="F38" s="13"/>
      <c r="G38" s="13"/>
      <c r="H38" s="13"/>
      <c r="I38" s="13"/>
      <c r="J38" s="17"/>
      <c r="K38" s="17"/>
    </row>
    <row r="39" spans="1:11" x14ac:dyDescent="0.25">
      <c r="A39" s="13"/>
      <c r="B39" s="13"/>
      <c r="C39" s="18"/>
      <c r="D39" s="13"/>
      <c r="E39" s="13"/>
      <c r="F39" s="13"/>
      <c r="G39" s="13"/>
      <c r="H39" s="13"/>
      <c r="I39" s="13"/>
      <c r="J39" s="17"/>
      <c r="K39" s="17"/>
    </row>
    <row r="40" spans="1:11" x14ac:dyDescent="0.25">
      <c r="A40" s="13"/>
      <c r="B40" s="13"/>
      <c r="C40" s="18"/>
      <c r="D40" s="13"/>
      <c r="E40" s="13"/>
      <c r="F40" s="13"/>
      <c r="G40" s="13"/>
      <c r="H40" s="13"/>
      <c r="I40" s="13"/>
      <c r="J40" s="17"/>
      <c r="K40" s="17"/>
    </row>
    <row r="41" spans="1:11" x14ac:dyDescent="0.25">
      <c r="A41" s="13"/>
      <c r="B41" s="13"/>
      <c r="C41" s="18"/>
      <c r="D41" s="13"/>
      <c r="E41" s="13"/>
      <c r="F41" s="13"/>
      <c r="G41" s="13"/>
      <c r="H41" s="13"/>
      <c r="I41" s="13"/>
      <c r="J41" s="17"/>
      <c r="K41" s="17"/>
    </row>
    <row r="42" spans="1:11" x14ac:dyDescent="0.25">
      <c r="A42" s="99"/>
      <c r="B42" s="99"/>
      <c r="C42" s="99"/>
      <c r="D42" s="19"/>
      <c r="E42" s="19"/>
      <c r="F42" s="19"/>
      <c r="G42" s="19"/>
      <c r="H42" s="19"/>
      <c r="I42" s="19"/>
      <c r="J42" s="17"/>
      <c r="K42" s="17"/>
    </row>
    <row r="43" spans="1:11" x14ac:dyDescent="0.25">
      <c r="A43" s="20"/>
      <c r="B43" s="13"/>
      <c r="C43" s="13"/>
      <c r="D43" s="13"/>
      <c r="E43" s="13"/>
      <c r="F43" s="13"/>
      <c r="G43" s="13"/>
      <c r="H43" s="13"/>
      <c r="I43" s="13"/>
      <c r="J43" s="17"/>
      <c r="K43" s="17"/>
    </row>
  </sheetData>
  <mergeCells count="9">
    <mergeCell ref="A1:C1"/>
    <mergeCell ref="F1:H1"/>
    <mergeCell ref="A42:C42"/>
    <mergeCell ref="F25:H25"/>
    <mergeCell ref="A25:C25"/>
    <mergeCell ref="A3:C3"/>
    <mergeCell ref="A19:C19"/>
    <mergeCell ref="F3:H3"/>
    <mergeCell ref="F19:H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2"/>
  <sheetViews>
    <sheetView zoomScaleNormal="100" workbookViewId="0">
      <selection activeCell="E4" sqref="E4"/>
    </sheetView>
  </sheetViews>
  <sheetFormatPr defaultRowHeight="15" x14ac:dyDescent="0.25"/>
  <cols>
    <col min="1" max="1" width="2" bestFit="1" customWidth="1"/>
    <col min="2" max="2" width="28.7109375" customWidth="1"/>
    <col min="3" max="3" width="9.85546875" bestFit="1" customWidth="1"/>
    <col min="4" max="5" width="11.28515625" bestFit="1" customWidth="1"/>
    <col min="6" max="6" width="13.140625" bestFit="1" customWidth="1"/>
    <col min="9" max="9" width="22.140625" bestFit="1" customWidth="1"/>
    <col min="10" max="10" width="18.85546875" bestFit="1" customWidth="1"/>
    <col min="11" max="12" width="11.28515625" bestFit="1" customWidth="1"/>
    <col min="13" max="13" width="13.140625" bestFit="1" customWidth="1"/>
  </cols>
  <sheetData>
    <row r="1" spans="1:13" ht="18" customHeight="1" x14ac:dyDescent="0.25">
      <c r="A1" s="102" t="s">
        <v>77</v>
      </c>
      <c r="B1" s="102"/>
      <c r="C1" s="52" t="s">
        <v>20</v>
      </c>
      <c r="D1" s="53">
        <f>D3+D13</f>
        <v>15643.333333333334</v>
      </c>
      <c r="E1" s="52" t="s">
        <v>21</v>
      </c>
      <c r="F1" s="54">
        <f>F3+F13</f>
        <v>187720</v>
      </c>
      <c r="H1" s="102" t="s">
        <v>77</v>
      </c>
      <c r="I1" s="102"/>
      <c r="J1" s="52" t="s">
        <v>20</v>
      </c>
      <c r="K1" s="53">
        <f>K3+K13</f>
        <v>14771.181732580038</v>
      </c>
      <c r="L1" s="52" t="s">
        <v>21</v>
      </c>
      <c r="M1" s="54">
        <f>M3+M13</f>
        <v>177254.18079096044</v>
      </c>
    </row>
    <row r="2" spans="1:13" ht="6" customHeight="1" x14ac:dyDescent="0.25">
      <c r="A2" s="44"/>
      <c r="B2" s="44"/>
      <c r="C2" s="44"/>
      <c r="D2" s="44"/>
      <c r="E2" s="44"/>
      <c r="F2" s="44"/>
      <c r="H2" s="4"/>
      <c r="I2" s="4"/>
      <c r="J2" s="4"/>
      <c r="K2" s="4"/>
      <c r="L2" s="4"/>
      <c r="M2" s="4"/>
    </row>
    <row r="3" spans="1:13" x14ac:dyDescent="0.25">
      <c r="A3" s="101" t="s">
        <v>90</v>
      </c>
      <c r="B3" s="101"/>
      <c r="C3" s="55" t="s">
        <v>20</v>
      </c>
      <c r="D3" s="56">
        <f>SUM(C4:C11)</f>
        <v>1560</v>
      </c>
      <c r="E3" s="55" t="s">
        <v>21</v>
      </c>
      <c r="F3" s="56">
        <f>SUM(E4:E11)</f>
        <v>18720</v>
      </c>
      <c r="H3" s="101" t="s">
        <v>92</v>
      </c>
      <c r="I3" s="101"/>
      <c r="J3" s="55" t="s">
        <v>20</v>
      </c>
      <c r="K3" s="56">
        <f>SUM(J4:J11)</f>
        <v>1514.2372881355932</v>
      </c>
      <c r="L3" s="55" t="s">
        <v>21</v>
      </c>
      <c r="M3" s="56">
        <f>SUM(L4:L11)</f>
        <v>18170.847457627118</v>
      </c>
    </row>
    <row r="4" spans="1:13" x14ac:dyDescent="0.25">
      <c r="A4" s="58">
        <v>1</v>
      </c>
      <c r="B4" s="59" t="s">
        <v>82</v>
      </c>
      <c r="C4" s="60">
        <v>200</v>
      </c>
      <c r="D4" s="21"/>
      <c r="E4" s="57">
        <f>C4*12</f>
        <v>2400</v>
      </c>
      <c r="F4" s="4"/>
      <c r="H4" s="58">
        <f>A4</f>
        <v>1</v>
      </c>
      <c r="I4" s="58" t="str">
        <f>B4</f>
        <v>KİRA GİDERİ</v>
      </c>
      <c r="J4" s="60">
        <v>200</v>
      </c>
      <c r="K4" s="21"/>
      <c r="L4" s="57">
        <f>J4*12</f>
        <v>2400</v>
      </c>
      <c r="M4" s="4"/>
    </row>
    <row r="5" spans="1:13" x14ac:dyDescent="0.25">
      <c r="A5" s="58">
        <v>2</v>
      </c>
      <c r="B5" s="59" t="s">
        <v>83</v>
      </c>
      <c r="C5" s="60">
        <v>80</v>
      </c>
      <c r="D5" s="21"/>
      <c r="E5" s="57">
        <f t="shared" ref="E5:E11" si="0">C5*12</f>
        <v>960</v>
      </c>
      <c r="F5" s="4"/>
      <c r="H5" s="58">
        <f t="shared" ref="H5:H11" si="1">A5</f>
        <v>2</v>
      </c>
      <c r="I5" s="58" t="str">
        <f t="shared" ref="I5:I11" si="2">B5</f>
        <v>ELEKTRİK GİDERİ</v>
      </c>
      <c r="J5" s="60">
        <v>80</v>
      </c>
      <c r="K5" s="21"/>
      <c r="L5" s="57">
        <f t="shared" ref="L5:L11" si="3">J5*12</f>
        <v>960</v>
      </c>
      <c r="M5" s="4"/>
    </row>
    <row r="6" spans="1:13" x14ac:dyDescent="0.25">
      <c r="A6" s="58">
        <v>3</v>
      </c>
      <c r="B6" s="59" t="s">
        <v>81</v>
      </c>
      <c r="C6" s="60">
        <v>30</v>
      </c>
      <c r="D6" s="21"/>
      <c r="E6" s="57">
        <f t="shared" si="0"/>
        <v>360</v>
      </c>
      <c r="F6" s="4"/>
      <c r="H6" s="58">
        <f t="shared" si="1"/>
        <v>3</v>
      </c>
      <c r="I6" s="58" t="str">
        <f t="shared" si="2"/>
        <v>SU GİDERİ</v>
      </c>
      <c r="J6" s="60">
        <v>30</v>
      </c>
      <c r="K6" s="21"/>
      <c r="L6" s="57">
        <f t="shared" si="3"/>
        <v>360</v>
      </c>
      <c r="M6" s="4"/>
    </row>
    <row r="7" spans="1:13" x14ac:dyDescent="0.25">
      <c r="A7" s="58">
        <v>4</v>
      </c>
      <c r="B7" s="59" t="s">
        <v>80</v>
      </c>
      <c r="C7" s="60">
        <v>100</v>
      </c>
      <c r="D7" s="21"/>
      <c r="E7" s="57">
        <f t="shared" si="0"/>
        <v>1200</v>
      </c>
      <c r="F7" s="4"/>
      <c r="H7" s="58">
        <f t="shared" si="1"/>
        <v>4</v>
      </c>
      <c r="I7" s="58" t="str">
        <f t="shared" si="2"/>
        <v>TELEFON/ İNTERNET GİDERİ</v>
      </c>
      <c r="J7" s="60">
        <v>100</v>
      </c>
      <c r="K7" s="21"/>
      <c r="L7" s="57">
        <f t="shared" si="3"/>
        <v>1200</v>
      </c>
      <c r="M7" s="4"/>
    </row>
    <row r="8" spans="1:13" x14ac:dyDescent="0.25">
      <c r="A8" s="58">
        <v>5</v>
      </c>
      <c r="B8" s="59" t="s">
        <v>22</v>
      </c>
      <c r="C8" s="60">
        <v>750</v>
      </c>
      <c r="D8" s="21"/>
      <c r="E8" s="57">
        <f t="shared" si="0"/>
        <v>9000</v>
      </c>
      <c r="F8" s="4"/>
      <c r="H8" s="58">
        <f t="shared" si="1"/>
        <v>5</v>
      </c>
      <c r="I8" s="58" t="str">
        <f t="shared" si="2"/>
        <v>PERSONEL GİDERİ</v>
      </c>
      <c r="J8" s="60">
        <v>750</v>
      </c>
      <c r="K8" s="21"/>
      <c r="L8" s="57">
        <f t="shared" si="3"/>
        <v>9000</v>
      </c>
      <c r="M8" s="4"/>
    </row>
    <row r="9" spans="1:13" x14ac:dyDescent="0.25">
      <c r="A9" s="58">
        <v>6</v>
      </c>
      <c r="B9" s="59" t="s">
        <v>23</v>
      </c>
      <c r="C9" s="60">
        <v>300</v>
      </c>
      <c r="D9" s="21"/>
      <c r="E9" s="57">
        <f t="shared" si="0"/>
        <v>3600</v>
      </c>
      <c r="F9" s="4"/>
      <c r="H9" s="58">
        <f t="shared" si="1"/>
        <v>6</v>
      </c>
      <c r="I9" s="58" t="str">
        <f t="shared" si="2"/>
        <v>REKLAM GİDERLERİ</v>
      </c>
      <c r="J9" s="61">
        <f>300/1.18</f>
        <v>254.23728813559325</v>
      </c>
      <c r="K9" s="21"/>
      <c r="L9" s="57">
        <f t="shared" si="3"/>
        <v>3050.8474576271192</v>
      </c>
      <c r="M9" s="4"/>
    </row>
    <row r="10" spans="1:13" x14ac:dyDescent="0.25">
      <c r="A10" s="58">
        <v>7</v>
      </c>
      <c r="B10" s="59" t="s">
        <v>79</v>
      </c>
      <c r="C10" s="60">
        <v>100</v>
      </c>
      <c r="D10" s="21"/>
      <c r="E10" s="57">
        <f t="shared" si="0"/>
        <v>1200</v>
      </c>
      <c r="F10" s="4"/>
      <c r="H10" s="58">
        <f t="shared" si="1"/>
        <v>7</v>
      </c>
      <c r="I10" s="58" t="str">
        <f t="shared" si="2"/>
        <v>MUHASEBE GİDERİ</v>
      </c>
      <c r="J10" s="60">
        <v>100</v>
      </c>
      <c r="K10" s="21"/>
      <c r="L10" s="57">
        <f t="shared" si="3"/>
        <v>1200</v>
      </c>
      <c r="M10" s="4"/>
    </row>
    <row r="11" spans="1:13" x14ac:dyDescent="0.25">
      <c r="A11" s="58">
        <v>8</v>
      </c>
      <c r="B11" s="59" t="s">
        <v>78</v>
      </c>
      <c r="C11" s="60">
        <v>0</v>
      </c>
      <c r="D11" s="21"/>
      <c r="E11" s="57">
        <f t="shared" si="0"/>
        <v>0</v>
      </c>
      <c r="F11" s="4"/>
      <c r="H11" s="58">
        <f t="shared" si="1"/>
        <v>8</v>
      </c>
      <c r="I11" s="58" t="str">
        <f t="shared" si="2"/>
        <v>ISITMA/ ISINMA GİDERİ</v>
      </c>
      <c r="J11" s="60">
        <v>0</v>
      </c>
      <c r="K11" s="21"/>
      <c r="L11" s="57">
        <f t="shared" si="3"/>
        <v>0</v>
      </c>
      <c r="M11" s="4"/>
    </row>
    <row r="12" spans="1:13" ht="7.5" customHeight="1" x14ac:dyDescent="0.25">
      <c r="A12" s="4"/>
      <c r="B12" s="4"/>
      <c r="C12" s="4"/>
      <c r="D12" s="4"/>
      <c r="E12" s="4"/>
      <c r="F12" s="4"/>
      <c r="H12" s="4"/>
      <c r="I12" s="4"/>
      <c r="J12" s="4"/>
      <c r="K12" s="4"/>
      <c r="L12" s="4"/>
      <c r="M12" s="4"/>
    </row>
    <row r="13" spans="1:13" x14ac:dyDescent="0.25">
      <c r="A13" s="101" t="s">
        <v>91</v>
      </c>
      <c r="B13" s="101"/>
      <c r="C13" s="55" t="s">
        <v>20</v>
      </c>
      <c r="D13" s="56">
        <f>SUM(C14:C16)</f>
        <v>14083.333333333334</v>
      </c>
      <c r="E13" s="55" t="s">
        <v>21</v>
      </c>
      <c r="F13" s="56">
        <f>SUM(E14:E16)</f>
        <v>169000</v>
      </c>
      <c r="H13" s="101" t="s">
        <v>93</v>
      </c>
      <c r="I13" s="101"/>
      <c r="J13" s="55" t="s">
        <v>20</v>
      </c>
      <c r="K13" s="56">
        <f>SUM(J14:J16)</f>
        <v>13256.944444444445</v>
      </c>
      <c r="L13" s="55" t="s">
        <v>21</v>
      </c>
      <c r="M13" s="56">
        <f>SUM(L14:L16)</f>
        <v>159083.33333333331</v>
      </c>
    </row>
    <row r="14" spans="1:13" x14ac:dyDescent="0.25">
      <c r="A14" s="58">
        <v>1</v>
      </c>
      <c r="B14" s="59" t="s">
        <v>24</v>
      </c>
      <c r="C14" s="57">
        <f>E14/12</f>
        <v>11156.25</v>
      </c>
      <c r="D14" s="22"/>
      <c r="E14" s="57">
        <f>YillikMaliyetTahmini!N18</f>
        <v>133875</v>
      </c>
      <c r="F14" s="4"/>
      <c r="H14" s="58">
        <v>1</v>
      </c>
      <c r="I14" s="59" t="s">
        <v>24</v>
      </c>
      <c r="J14" s="57">
        <f>L14/12</f>
        <v>10329.861111111111</v>
      </c>
      <c r="K14" s="22"/>
      <c r="L14" s="57">
        <f>E14/1.08</f>
        <v>123958.33333333333</v>
      </c>
      <c r="M14" s="4"/>
    </row>
    <row r="15" spans="1:13" x14ac:dyDescent="0.25">
      <c r="A15" s="58">
        <v>2</v>
      </c>
      <c r="B15" s="59" t="s">
        <v>25</v>
      </c>
      <c r="C15" s="57">
        <f t="shared" ref="C15:C16" si="4">E15/12</f>
        <v>2516.875</v>
      </c>
      <c r="D15" s="22"/>
      <c r="E15" s="57">
        <f>YillikMaliyetTahmini!N26</f>
        <v>30202.5</v>
      </c>
      <c r="F15" s="4"/>
      <c r="H15" s="58">
        <v>2</v>
      </c>
      <c r="I15" s="59" t="s">
        <v>25</v>
      </c>
      <c r="J15" s="57">
        <f t="shared" ref="J15:J16" si="5">L15/12</f>
        <v>2516.875</v>
      </c>
      <c r="K15" s="22"/>
      <c r="L15" s="57">
        <f>E15</f>
        <v>30202.5</v>
      </c>
      <c r="M15" s="4"/>
    </row>
    <row r="16" spans="1:13" x14ac:dyDescent="0.25">
      <c r="A16" s="58">
        <v>3</v>
      </c>
      <c r="B16" s="59" t="s">
        <v>76</v>
      </c>
      <c r="C16" s="57">
        <f t="shared" si="4"/>
        <v>410.20833333333331</v>
      </c>
      <c r="D16" s="21"/>
      <c r="E16" s="57">
        <f>YillikMaliyetTahmini!N34</f>
        <v>4922.5</v>
      </c>
      <c r="F16" s="4"/>
      <c r="H16" s="58">
        <v>3</v>
      </c>
      <c r="I16" s="59" t="s">
        <v>76</v>
      </c>
      <c r="J16" s="57">
        <f t="shared" si="5"/>
        <v>410.20833333333331</v>
      </c>
      <c r="K16" s="21"/>
      <c r="L16" s="57">
        <f>E16</f>
        <v>4922.5</v>
      </c>
      <c r="M16" s="4"/>
    </row>
    <row r="22" spans="7:7" x14ac:dyDescent="0.25">
      <c r="G22" s="9"/>
    </row>
  </sheetData>
  <mergeCells count="6">
    <mergeCell ref="A3:B3"/>
    <mergeCell ref="A13:B13"/>
    <mergeCell ref="A1:B1"/>
    <mergeCell ref="H1:I1"/>
    <mergeCell ref="H3:I3"/>
    <mergeCell ref="H13:I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38"/>
  <sheetViews>
    <sheetView topLeftCell="A10" workbookViewId="0">
      <selection activeCell="D41" sqref="D41"/>
    </sheetView>
  </sheetViews>
  <sheetFormatPr defaultRowHeight="15" x14ac:dyDescent="0.25"/>
  <cols>
    <col min="1" max="1" width="58.28515625" customWidth="1"/>
    <col min="2" max="2" width="22" customWidth="1"/>
    <col min="4" max="4" width="27" customWidth="1"/>
    <col min="6" max="6" width="27.28515625" customWidth="1"/>
  </cols>
  <sheetData>
    <row r="1" spans="1:6" x14ac:dyDescent="0.25">
      <c r="A1" s="103" t="s">
        <v>102</v>
      </c>
      <c r="B1" s="103"/>
    </row>
    <row r="2" spans="1:6" ht="33" customHeight="1" x14ac:dyDescent="0.25">
      <c r="A2" s="62" t="s">
        <v>88</v>
      </c>
      <c r="B2" s="62" t="s">
        <v>95</v>
      </c>
      <c r="D2" s="62" t="s">
        <v>96</v>
      </c>
    </row>
    <row r="3" spans="1:6" x14ac:dyDescent="0.25">
      <c r="A3" s="63" t="s">
        <v>67</v>
      </c>
      <c r="B3" s="64">
        <f>DuranVarlik!H26</f>
        <v>0</v>
      </c>
      <c r="D3" s="40">
        <f>B3*0.7</f>
        <v>0</v>
      </c>
    </row>
    <row r="4" spans="1:6" x14ac:dyDescent="0.25">
      <c r="A4" s="63" t="s">
        <v>68</v>
      </c>
      <c r="B4" s="64">
        <f>DuranVarlik!H27</f>
        <v>0</v>
      </c>
      <c r="D4" s="40">
        <f>D3+B4*0.7</f>
        <v>0</v>
      </c>
    </row>
    <row r="5" spans="1:6" x14ac:dyDescent="0.25">
      <c r="A5" s="65" t="s">
        <v>69</v>
      </c>
      <c r="B5" s="64">
        <f>DuranVarlik!H28</f>
        <v>300</v>
      </c>
      <c r="D5" s="40">
        <f>D4+B5*0.7</f>
        <v>210</v>
      </c>
    </row>
    <row r="6" spans="1:6" x14ac:dyDescent="0.25">
      <c r="A6" s="66" t="s">
        <v>70</v>
      </c>
      <c r="B6" s="64">
        <f>DuranVarlik!H29</f>
        <v>240</v>
      </c>
      <c r="D6" s="40">
        <f t="shared" ref="D6:D11" si="0">D5+B6*0.7</f>
        <v>378</v>
      </c>
    </row>
    <row r="7" spans="1:6" x14ac:dyDescent="0.25">
      <c r="A7" s="65" t="s">
        <v>71</v>
      </c>
      <c r="B7" s="64">
        <f>DuranVarlik!H30</f>
        <v>0</v>
      </c>
      <c r="D7" s="40">
        <f t="shared" si="0"/>
        <v>378</v>
      </c>
    </row>
    <row r="8" spans="1:6" x14ac:dyDescent="0.25">
      <c r="A8" s="65" t="s">
        <v>72</v>
      </c>
      <c r="B8" s="64">
        <f>DuranVarlik!H31</f>
        <v>0</v>
      </c>
      <c r="D8" s="40">
        <f t="shared" si="0"/>
        <v>378</v>
      </c>
    </row>
    <row r="9" spans="1:6" x14ac:dyDescent="0.25">
      <c r="A9" s="65" t="s">
        <v>73</v>
      </c>
      <c r="B9" s="64">
        <f>DuranVarlik!H32</f>
        <v>0</v>
      </c>
      <c r="D9" s="40">
        <f t="shared" si="0"/>
        <v>378</v>
      </c>
    </row>
    <row r="10" spans="1:6" x14ac:dyDescent="0.25">
      <c r="A10" s="66" t="s">
        <v>74</v>
      </c>
      <c r="B10" s="64">
        <f>DuranVarlik!H33</f>
        <v>436</v>
      </c>
      <c r="D10" s="40">
        <f t="shared" si="0"/>
        <v>683.2</v>
      </c>
    </row>
    <row r="11" spans="1:6" x14ac:dyDescent="0.25">
      <c r="A11" s="65" t="s">
        <v>75</v>
      </c>
      <c r="B11" s="64">
        <f>DuranVarlik!H34</f>
        <v>0</v>
      </c>
      <c r="D11" s="40">
        <f t="shared" si="0"/>
        <v>683.2</v>
      </c>
    </row>
    <row r="13" spans="1:6" x14ac:dyDescent="0.25">
      <c r="A13" s="104" t="s">
        <v>97</v>
      </c>
      <c r="B13" s="104"/>
      <c r="C13" s="104"/>
      <c r="D13" s="104"/>
    </row>
    <row r="14" spans="1:6" ht="36.75" customHeight="1" x14ac:dyDescent="0.25">
      <c r="A14" s="62" t="s">
        <v>88</v>
      </c>
      <c r="B14" s="62" t="s">
        <v>99</v>
      </c>
      <c r="C14" s="62" t="s">
        <v>98</v>
      </c>
      <c r="D14" s="62" t="s">
        <v>100</v>
      </c>
      <c r="F14" s="62" t="s">
        <v>96</v>
      </c>
    </row>
    <row r="15" spans="1:6" x14ac:dyDescent="0.25">
      <c r="A15" s="35" t="str">
        <f>DuranVarlik!G6</f>
        <v>500 lt. Kompresör</v>
      </c>
      <c r="B15" s="16" t="s">
        <v>155</v>
      </c>
      <c r="C15" s="16">
        <v>1</v>
      </c>
      <c r="D15" s="40">
        <f>DuranVarlik!H6</f>
        <v>3000</v>
      </c>
      <c r="F15" s="40">
        <f>D15*0.7</f>
        <v>2100</v>
      </c>
    </row>
    <row r="16" spans="1:6" x14ac:dyDescent="0.25">
      <c r="A16" s="35" t="str">
        <f>DuranVarlik!G8</f>
        <v>Gönye Kesme Makinesi</v>
      </c>
      <c r="B16" s="16" t="s">
        <v>155</v>
      </c>
      <c r="C16" s="16">
        <v>1</v>
      </c>
      <c r="D16" s="40">
        <f>DuranVarlik!H8</f>
        <v>850</v>
      </c>
      <c r="F16" s="40">
        <f>F15+D16*0.7</f>
        <v>2695</v>
      </c>
    </row>
    <row r="17" spans="1:6" x14ac:dyDescent="0.25">
      <c r="A17" s="35" t="str">
        <f>DuranVarlik!G9</f>
        <v>2-26 Kırıcı- Delici</v>
      </c>
      <c r="B17" s="16" t="s">
        <v>155</v>
      </c>
      <c r="C17" s="16">
        <v>1</v>
      </c>
      <c r="D17" s="40">
        <f>DuranVarlik!H9</f>
        <v>400</v>
      </c>
      <c r="F17" s="40">
        <f t="shared" ref="F17:F27" si="1">F16+D17*0.7</f>
        <v>2975</v>
      </c>
    </row>
    <row r="18" spans="1:6" x14ac:dyDescent="0.25">
      <c r="A18" s="35" t="str">
        <f>DuranVarlik!G10</f>
        <v>El frezesi</v>
      </c>
      <c r="B18" s="16" t="s">
        <v>155</v>
      </c>
      <c r="C18" s="16">
        <v>1</v>
      </c>
      <c r="D18" s="40">
        <f>DuranVarlik!H10</f>
        <v>700</v>
      </c>
      <c r="F18" s="40">
        <f t="shared" si="1"/>
        <v>3465</v>
      </c>
    </row>
    <row r="19" spans="1:6" x14ac:dyDescent="0.25">
      <c r="A19" s="35" t="str">
        <f>DuranVarlik!G11</f>
        <v>Elektrikli titreşim makinesi</v>
      </c>
      <c r="B19" s="16" t="s">
        <v>155</v>
      </c>
      <c r="C19" s="16">
        <v>1</v>
      </c>
      <c r="D19" s="40">
        <f>DuranVarlik!H11</f>
        <v>400</v>
      </c>
      <c r="F19" s="40">
        <f t="shared" si="1"/>
        <v>3745</v>
      </c>
    </row>
    <row r="20" spans="1:6" x14ac:dyDescent="0.25">
      <c r="A20" s="35" t="str">
        <f>DuranVarlik!G12</f>
        <v>Darbesiz Matkap</v>
      </c>
      <c r="B20" s="16" t="s">
        <v>155</v>
      </c>
      <c r="C20" s="16">
        <v>1</v>
      </c>
      <c r="D20" s="40">
        <f>DuranVarlik!H12</f>
        <v>150</v>
      </c>
      <c r="F20" s="40">
        <f t="shared" si="1"/>
        <v>3850</v>
      </c>
    </row>
    <row r="21" spans="1:6" x14ac:dyDescent="0.25">
      <c r="A21" s="35" t="str">
        <f>DuranVarlik!G13</f>
        <v>Avuç taşlama makinesi</v>
      </c>
      <c r="B21" s="16" t="s">
        <v>155</v>
      </c>
      <c r="C21" s="16">
        <v>1</v>
      </c>
      <c r="D21" s="40">
        <f>DuranVarlik!H13</f>
        <v>180</v>
      </c>
      <c r="F21" s="40">
        <f t="shared" si="1"/>
        <v>3976</v>
      </c>
    </row>
    <row r="22" spans="1:6" x14ac:dyDescent="0.25">
      <c r="A22" s="35" t="str">
        <f>DuranVarlik!G14</f>
        <v>3200 Çizicili yatar</v>
      </c>
      <c r="B22" s="16" t="s">
        <v>155</v>
      </c>
      <c r="C22" s="16">
        <v>1</v>
      </c>
      <c r="D22" s="40">
        <f>DuranVarlik!H14</f>
        <v>12000</v>
      </c>
      <c r="F22" s="40">
        <f t="shared" si="1"/>
        <v>12376</v>
      </c>
    </row>
    <row r="23" spans="1:6" x14ac:dyDescent="0.25">
      <c r="A23" s="35" t="str">
        <f>DuranVarlik!G15</f>
        <v>Toz emme ünitesi</v>
      </c>
      <c r="B23" s="16" t="s">
        <v>155</v>
      </c>
      <c r="C23" s="16">
        <v>1</v>
      </c>
      <c r="D23" s="40">
        <f>DuranVarlik!H15</f>
        <v>800</v>
      </c>
      <c r="F23" s="40">
        <f t="shared" si="1"/>
        <v>12936</v>
      </c>
    </row>
    <row r="24" spans="1:6" x14ac:dyDescent="0.25">
      <c r="A24" s="35" t="str">
        <f>DuranVarlik!G20</f>
        <v>Ahşap büro takımı</v>
      </c>
      <c r="B24" s="16" t="s">
        <v>155</v>
      </c>
      <c r="C24" s="16">
        <v>1</v>
      </c>
      <c r="D24" s="40">
        <f>DuranVarlik!H20</f>
        <v>1800</v>
      </c>
      <c r="F24" s="40">
        <f t="shared" si="1"/>
        <v>14196</v>
      </c>
    </row>
    <row r="25" spans="1:6" x14ac:dyDescent="0.25">
      <c r="A25" s="35" t="str">
        <f>DuranVarlik!G21</f>
        <v>Müdür koltuğu</v>
      </c>
      <c r="B25" s="16" t="s">
        <v>155</v>
      </c>
      <c r="C25" s="16">
        <v>1</v>
      </c>
      <c r="D25" s="40">
        <f>DuranVarlik!H21</f>
        <v>350</v>
      </c>
      <c r="F25" s="40">
        <f t="shared" si="1"/>
        <v>14441</v>
      </c>
    </row>
    <row r="26" spans="1:6" x14ac:dyDescent="0.25">
      <c r="A26" s="35" t="str">
        <f>DuranVarlik!G22</f>
        <v>Misafir koltuğu (2 adet)</v>
      </c>
      <c r="B26" s="16" t="s">
        <v>155</v>
      </c>
      <c r="C26" s="16">
        <v>1</v>
      </c>
      <c r="D26" s="40">
        <f>DuranVarlik!H22</f>
        <v>600</v>
      </c>
      <c r="F26" s="40">
        <f t="shared" si="1"/>
        <v>14861</v>
      </c>
    </row>
    <row r="27" spans="1:6" x14ac:dyDescent="0.25">
      <c r="A27" s="35" t="str">
        <f>DuranVarlik!G23</f>
        <v>Dosya dolabı</v>
      </c>
      <c r="B27" s="16" t="s">
        <v>155</v>
      </c>
      <c r="C27" s="16">
        <v>1</v>
      </c>
      <c r="D27" s="40">
        <f>DuranVarlik!H23</f>
        <v>200</v>
      </c>
      <c r="F27" s="40">
        <f t="shared" si="1"/>
        <v>15001</v>
      </c>
    </row>
    <row r="28" spans="1:6" x14ac:dyDescent="0.25">
      <c r="A28" s="4"/>
      <c r="B28" s="4"/>
      <c r="C28" s="4"/>
      <c r="D28" s="11"/>
      <c r="F28" s="11"/>
    </row>
    <row r="29" spans="1:6" x14ac:dyDescent="0.25">
      <c r="A29" s="4"/>
      <c r="B29" s="4"/>
      <c r="C29" s="4"/>
      <c r="D29" s="11"/>
      <c r="F29" s="11"/>
    </row>
    <row r="31" spans="1:6" x14ac:dyDescent="0.25">
      <c r="A31" s="104" t="s">
        <v>103</v>
      </c>
      <c r="B31" s="104"/>
      <c r="C31" s="104"/>
      <c r="D31" s="104"/>
    </row>
    <row r="32" spans="1:6" ht="45" x14ac:dyDescent="0.25">
      <c r="A32" s="62" t="s">
        <v>88</v>
      </c>
      <c r="B32" s="62" t="s">
        <v>99</v>
      </c>
      <c r="C32" s="62" t="s">
        <v>98</v>
      </c>
      <c r="D32" s="62" t="s">
        <v>100</v>
      </c>
      <c r="F32" s="62" t="s">
        <v>96</v>
      </c>
    </row>
    <row r="33" spans="1:6" x14ac:dyDescent="0.25">
      <c r="A33" s="1" t="s">
        <v>153</v>
      </c>
      <c r="B33" s="16" t="s">
        <v>155</v>
      </c>
      <c r="C33" s="16">
        <v>1</v>
      </c>
      <c r="D33" s="14">
        <v>30000</v>
      </c>
      <c r="F33" s="40">
        <f>D33*0.7</f>
        <v>21000</v>
      </c>
    </row>
    <row r="34" spans="1:6" x14ac:dyDescent="0.25">
      <c r="A34" s="1" t="s">
        <v>154</v>
      </c>
      <c r="B34" s="16" t="s">
        <v>155</v>
      </c>
      <c r="C34" s="16">
        <v>1</v>
      </c>
      <c r="D34" s="14">
        <v>28000</v>
      </c>
      <c r="F34" s="40">
        <f>F33+D34*0.7</f>
        <v>40600</v>
      </c>
    </row>
    <row r="35" spans="1:6" x14ac:dyDescent="0.25">
      <c r="A35" s="1" t="s">
        <v>126</v>
      </c>
      <c r="B35" s="16" t="s">
        <v>155</v>
      </c>
      <c r="C35" s="16">
        <v>1</v>
      </c>
      <c r="D35" s="26">
        <v>450</v>
      </c>
      <c r="F35" s="40">
        <f t="shared" ref="F35:F37" si="2">F34+D35*0.7</f>
        <v>40915</v>
      </c>
    </row>
    <row r="36" spans="1:6" x14ac:dyDescent="0.25">
      <c r="A36" s="1" t="s">
        <v>127</v>
      </c>
      <c r="B36" s="16" t="s">
        <v>155</v>
      </c>
      <c r="C36" s="16">
        <v>1</v>
      </c>
      <c r="D36" s="26">
        <v>450</v>
      </c>
      <c r="F36" s="40">
        <f t="shared" si="2"/>
        <v>41230</v>
      </c>
    </row>
    <row r="37" spans="1:6" x14ac:dyDescent="0.25">
      <c r="A37" s="1" t="s">
        <v>129</v>
      </c>
      <c r="B37" s="16" t="s">
        <v>155</v>
      </c>
      <c r="C37" s="16">
        <v>1</v>
      </c>
      <c r="D37" s="26">
        <v>800</v>
      </c>
      <c r="F37" s="40">
        <f t="shared" si="2"/>
        <v>41790</v>
      </c>
    </row>
    <row r="38" spans="1:6" x14ac:dyDescent="0.25">
      <c r="A38" t="s">
        <v>156</v>
      </c>
      <c r="D38" s="9"/>
    </row>
  </sheetData>
  <mergeCells count="3">
    <mergeCell ref="A1:B1"/>
    <mergeCell ref="A13:D13"/>
    <mergeCell ref="A31:D31"/>
  </mergeCells>
  <conditionalFormatting sqref="D3:D11">
    <cfRule type="cellIs" dxfId="3" priority="4" operator="greaterThan">
      <formula>3000</formula>
    </cfRule>
  </conditionalFormatting>
  <conditionalFormatting sqref="F15:F29">
    <cfRule type="cellIs" dxfId="2" priority="3" operator="greaterThan">
      <formula>15000</formula>
    </cfRule>
  </conditionalFormatting>
  <conditionalFormatting sqref="F33:F37">
    <cfRule type="cellIs" dxfId="1" priority="1" operator="greaterThan">
      <formula>70000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13"/>
  <sheetViews>
    <sheetView zoomScale="90" zoomScaleNormal="90" workbookViewId="0">
      <selection activeCell="H34" sqref="H34"/>
    </sheetView>
  </sheetViews>
  <sheetFormatPr defaultRowHeight="15" x14ac:dyDescent="0.25"/>
  <cols>
    <col min="1" max="1" width="67.28515625" customWidth="1"/>
    <col min="2" max="2" width="22.42578125" customWidth="1"/>
    <col min="3" max="3" width="10.140625" bestFit="1" customWidth="1"/>
    <col min="4" max="4" width="36.7109375" customWidth="1"/>
    <col min="5" max="5" width="11.5703125" bestFit="1" customWidth="1"/>
    <col min="9" max="9" width="18.85546875" bestFit="1" customWidth="1"/>
  </cols>
  <sheetData>
    <row r="1" spans="1:6" ht="21.75" customHeight="1" x14ac:dyDescent="0.25">
      <c r="A1" s="103" t="s">
        <v>101</v>
      </c>
      <c r="B1" s="103"/>
    </row>
    <row r="2" spans="1:6" ht="34.5" customHeight="1" x14ac:dyDescent="0.25">
      <c r="A2" s="62" t="s">
        <v>88</v>
      </c>
      <c r="B2" s="62" t="s">
        <v>89</v>
      </c>
      <c r="D2" s="62" t="s">
        <v>94</v>
      </c>
    </row>
    <row r="3" spans="1:6" x14ac:dyDescent="0.25">
      <c r="A3" s="67" t="str">
        <f>IsletmeGiderleri!I4</f>
        <v>KİRA GİDERİ</v>
      </c>
      <c r="B3" s="64">
        <f>IsletmeGiderleri!J4</f>
        <v>200</v>
      </c>
      <c r="D3" s="40">
        <f>B3*0.7</f>
        <v>140</v>
      </c>
    </row>
    <row r="4" spans="1:6" x14ac:dyDescent="0.25">
      <c r="A4" s="67" t="str">
        <f>IsletmeGiderleri!I5</f>
        <v>ELEKTRİK GİDERİ</v>
      </c>
      <c r="B4" s="64">
        <f>IsletmeGiderleri!J5</f>
        <v>80</v>
      </c>
      <c r="D4" s="40">
        <f>D3+B4*0.7</f>
        <v>196</v>
      </c>
    </row>
    <row r="5" spans="1:6" x14ac:dyDescent="0.25">
      <c r="A5" s="67" t="str">
        <f>IsletmeGiderleri!I6</f>
        <v>SU GİDERİ</v>
      </c>
      <c r="B5" s="64">
        <f>IsletmeGiderleri!J6</f>
        <v>30</v>
      </c>
      <c r="D5" s="40">
        <f>D4+B5*0.7</f>
        <v>217</v>
      </c>
      <c r="F5" s="9"/>
    </row>
    <row r="6" spans="1:6" x14ac:dyDescent="0.25">
      <c r="A6" s="67" t="str">
        <f>IsletmeGiderleri!I7</f>
        <v>TELEFON/ İNTERNET GİDERİ</v>
      </c>
      <c r="B6" s="64">
        <f>IsletmeGiderleri!J7</f>
        <v>100</v>
      </c>
      <c r="D6" s="40">
        <f t="shared" ref="D6:D10" si="0">D5+B6*0.7</f>
        <v>287</v>
      </c>
    </row>
    <row r="7" spans="1:6" x14ac:dyDescent="0.25">
      <c r="A7" s="67" t="str">
        <f>IsletmeGiderleri!I8</f>
        <v>PERSONEL GİDERİ</v>
      </c>
      <c r="B7" s="64">
        <f>IsletmeGiderleri!J8</f>
        <v>750</v>
      </c>
      <c r="D7" s="40">
        <f t="shared" si="0"/>
        <v>812</v>
      </c>
    </row>
    <row r="8" spans="1:6" x14ac:dyDescent="0.25">
      <c r="A8" s="67" t="str">
        <f>IsletmeGiderleri!I9</f>
        <v>REKLAM GİDERLERİ</v>
      </c>
      <c r="B8" s="64">
        <f>IsletmeGiderleri!J9</f>
        <v>254.23728813559325</v>
      </c>
      <c r="D8" s="40">
        <f t="shared" si="0"/>
        <v>989.96610169491532</v>
      </c>
    </row>
    <row r="9" spans="1:6" x14ac:dyDescent="0.25">
      <c r="A9" s="67" t="str">
        <f>IsletmeGiderleri!I10</f>
        <v>MUHASEBE GİDERİ</v>
      </c>
      <c r="B9" s="64">
        <f>IsletmeGiderleri!J10</f>
        <v>100</v>
      </c>
      <c r="D9" s="40">
        <f t="shared" si="0"/>
        <v>1059.9661016949153</v>
      </c>
    </row>
    <row r="10" spans="1:6" x14ac:dyDescent="0.25">
      <c r="A10" s="67" t="str">
        <f>IsletmeGiderleri!I11</f>
        <v>ISITMA/ ISINMA GİDERİ</v>
      </c>
      <c r="B10" s="64">
        <f>IsletmeGiderleri!J11</f>
        <v>0</v>
      </c>
      <c r="D10" s="40">
        <f t="shared" si="0"/>
        <v>1059.9661016949153</v>
      </c>
    </row>
    <row r="12" spans="1:6" ht="23.25" x14ac:dyDescent="0.35">
      <c r="A12" s="86" t="s">
        <v>170</v>
      </c>
    </row>
    <row r="13" spans="1:6" ht="23.25" x14ac:dyDescent="0.35">
      <c r="A13" s="87" t="s">
        <v>169</v>
      </c>
    </row>
  </sheetData>
  <mergeCells count="1">
    <mergeCell ref="A1:B1"/>
  </mergeCells>
  <conditionalFormatting sqref="D3:D10">
    <cfRule type="cellIs" dxfId="0" priority="1" operator="greaterThan">
      <formula>1000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23"/>
  <sheetViews>
    <sheetView zoomScaleNormal="100" workbookViewId="0">
      <selection activeCell="M23" sqref="M23"/>
    </sheetView>
  </sheetViews>
  <sheetFormatPr defaultRowHeight="15" x14ac:dyDescent="0.25"/>
  <cols>
    <col min="1" max="1" width="24.5703125" customWidth="1"/>
    <col min="2" max="3" width="12.28515625" bestFit="1" customWidth="1"/>
    <col min="4" max="4" width="10.140625" bestFit="1" customWidth="1"/>
    <col min="5" max="5" width="9.85546875" bestFit="1" customWidth="1"/>
    <col min="6" max="8" width="10.140625" bestFit="1" customWidth="1"/>
    <col min="9" max="11" width="11.7109375" bestFit="1" customWidth="1"/>
    <col min="12" max="13" width="12.7109375" bestFit="1" customWidth="1"/>
  </cols>
  <sheetData>
    <row r="1" spans="1:13" ht="24" customHeight="1" x14ac:dyDescent="0.25">
      <c r="A1" s="105" t="s">
        <v>165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x14ac:dyDescent="0.25">
      <c r="A2" s="35" t="s">
        <v>86</v>
      </c>
      <c r="B2" s="34" t="str">
        <f>YillikMaliyetTahmini!B5</f>
        <v>Ocak</v>
      </c>
      <c r="C2" s="34" t="str">
        <f>YillikMaliyetTahmini!C5</f>
        <v>Şubat</v>
      </c>
      <c r="D2" s="34" t="str">
        <f>YillikMaliyetTahmini!D5</f>
        <v>Mart</v>
      </c>
      <c r="E2" s="34" t="str">
        <f>YillikMaliyetTahmini!E5</f>
        <v>Nisan</v>
      </c>
      <c r="F2" s="34" t="str">
        <f>YillikMaliyetTahmini!F5</f>
        <v>Mayıs</v>
      </c>
      <c r="G2" s="34" t="str">
        <f>YillikMaliyetTahmini!G5</f>
        <v>Haziran</v>
      </c>
      <c r="H2" s="34" t="str">
        <f>YillikMaliyetTahmini!H5</f>
        <v>Temmuz</v>
      </c>
      <c r="I2" s="34" t="str">
        <f>YillikMaliyetTahmini!I5</f>
        <v>Ağustos</v>
      </c>
      <c r="J2" s="34" t="str">
        <f>YillikMaliyetTahmini!J5</f>
        <v>Eylül</v>
      </c>
      <c r="K2" s="34" t="str">
        <f>YillikMaliyetTahmini!K5</f>
        <v>Ekim</v>
      </c>
      <c r="L2" s="34" t="str">
        <f>YillikMaliyetTahmini!L5</f>
        <v>Kasım</v>
      </c>
      <c r="M2" s="34" t="str">
        <f>YillikMaliyetTahmini!M5</f>
        <v>Aralık</v>
      </c>
    </row>
    <row r="3" spans="1:13" x14ac:dyDescent="0.25">
      <c r="A3" s="35" t="s">
        <v>87</v>
      </c>
      <c r="B3" s="34">
        <f>YillikMaliyetTahmini!B2</f>
        <v>31</v>
      </c>
      <c r="C3" s="34">
        <f>YillikMaliyetTahmini!C2</f>
        <v>29</v>
      </c>
      <c r="D3" s="34">
        <f>YillikMaliyetTahmini!D2</f>
        <v>31</v>
      </c>
      <c r="E3" s="34">
        <f>YillikMaliyetTahmini!E2</f>
        <v>30</v>
      </c>
      <c r="F3" s="34">
        <f>YillikMaliyetTahmini!F2</f>
        <v>31</v>
      </c>
      <c r="G3" s="34">
        <f>YillikMaliyetTahmini!G2</f>
        <v>30</v>
      </c>
      <c r="H3" s="34">
        <f>YillikMaliyetTahmini!H2</f>
        <v>31</v>
      </c>
      <c r="I3" s="34">
        <f>YillikMaliyetTahmini!I2</f>
        <v>31</v>
      </c>
      <c r="J3" s="34">
        <f>YillikMaliyetTahmini!J2</f>
        <v>30</v>
      </c>
      <c r="K3" s="34">
        <f>YillikMaliyetTahmini!K2</f>
        <v>31</v>
      </c>
      <c r="L3" s="34">
        <f>YillikMaliyetTahmini!L2</f>
        <v>30</v>
      </c>
      <c r="M3" s="34">
        <f>YillikMaliyetTahmini!M2</f>
        <v>30</v>
      </c>
    </row>
    <row r="4" spans="1:13" x14ac:dyDescent="0.25">
      <c r="A4" s="108" t="s">
        <v>29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10"/>
    </row>
    <row r="5" spans="1:13" x14ac:dyDescent="0.25">
      <c r="A5" s="77" t="s">
        <v>84</v>
      </c>
      <c r="B5" s="40"/>
      <c r="C5" s="40">
        <f>B23</f>
        <v>2665.3424657534233</v>
      </c>
      <c r="D5" s="40">
        <f t="shared" ref="D5:M5" si="0">C23</f>
        <v>5058.0821917808189</v>
      </c>
      <c r="E5" s="40">
        <f t="shared" si="0"/>
        <v>7723.4246575342404</v>
      </c>
      <c r="F5" s="40">
        <f t="shared" si="0"/>
        <v>10252.465753424653</v>
      </c>
      <c r="G5" s="40">
        <f t="shared" si="0"/>
        <v>12917.808219178078</v>
      </c>
      <c r="H5" s="40">
        <f t="shared" si="0"/>
        <v>15446.84931506849</v>
      </c>
      <c r="I5" s="40">
        <f t="shared" si="0"/>
        <v>18112.191780821915</v>
      </c>
      <c r="J5" s="40">
        <f t="shared" si="0"/>
        <v>20777.534246575342</v>
      </c>
      <c r="K5" s="40">
        <f t="shared" si="0"/>
        <v>23306.575342465752</v>
      </c>
      <c r="L5" s="40">
        <f t="shared" si="0"/>
        <v>25971.917808219172</v>
      </c>
      <c r="M5" s="40">
        <f t="shared" si="0"/>
        <v>28500.958904109582</v>
      </c>
    </row>
    <row r="6" spans="1:13" x14ac:dyDescent="0.25">
      <c r="A6" s="111" t="s">
        <v>85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1:13" x14ac:dyDescent="0.25">
      <c r="A7" s="78" t="str">
        <f>YillikMaliyetTahmini!A22</f>
        <v>Kapı</v>
      </c>
      <c r="B7" s="40">
        <f>YillikSatisTahmini!B6</f>
        <v>4650</v>
      </c>
      <c r="C7" s="40">
        <f>YillikSatisTahmini!C6</f>
        <v>4350</v>
      </c>
      <c r="D7" s="40">
        <f>YillikSatisTahmini!D6</f>
        <v>4650</v>
      </c>
      <c r="E7" s="40">
        <f>YillikSatisTahmini!E6</f>
        <v>4500</v>
      </c>
      <c r="F7" s="40">
        <f>YillikSatisTahmini!F6</f>
        <v>4650</v>
      </c>
      <c r="G7" s="40">
        <f>YillikSatisTahmini!G6</f>
        <v>4500</v>
      </c>
      <c r="H7" s="40">
        <f>YillikSatisTahmini!H6</f>
        <v>4650</v>
      </c>
      <c r="I7" s="40">
        <f>YillikSatisTahmini!I6</f>
        <v>4650</v>
      </c>
      <c r="J7" s="40">
        <f>YillikSatisTahmini!J6</f>
        <v>4500</v>
      </c>
      <c r="K7" s="40">
        <f>YillikSatisTahmini!K6</f>
        <v>4650</v>
      </c>
      <c r="L7" s="40">
        <f>YillikSatisTahmini!L6</f>
        <v>4500</v>
      </c>
      <c r="M7" s="40">
        <f>YillikSatisTahmini!M6</f>
        <v>4500</v>
      </c>
    </row>
    <row r="8" spans="1:13" x14ac:dyDescent="0.25">
      <c r="A8" s="78" t="str">
        <f>YillikMaliyetTahmini!A23</f>
        <v>Mutfak/banyo mobilyası</v>
      </c>
      <c r="B8" s="40">
        <f>YillikSatisTahmini!B7</f>
        <v>12400</v>
      </c>
      <c r="C8" s="40">
        <f>YillikSatisTahmini!C7</f>
        <v>11600</v>
      </c>
      <c r="D8" s="40">
        <f>YillikSatisTahmini!D7</f>
        <v>12400</v>
      </c>
      <c r="E8" s="40">
        <f>YillikSatisTahmini!E7</f>
        <v>12000</v>
      </c>
      <c r="F8" s="40">
        <f>YillikSatisTahmini!F7</f>
        <v>12400</v>
      </c>
      <c r="G8" s="40">
        <f>YillikSatisTahmini!G7</f>
        <v>12000</v>
      </c>
      <c r="H8" s="40">
        <f>YillikSatisTahmini!H7</f>
        <v>12400</v>
      </c>
      <c r="I8" s="40">
        <f>YillikSatisTahmini!I7</f>
        <v>12400</v>
      </c>
      <c r="J8" s="40">
        <f>YillikSatisTahmini!J7</f>
        <v>12000</v>
      </c>
      <c r="K8" s="40">
        <f>YillikSatisTahmini!K7</f>
        <v>12400</v>
      </c>
      <c r="L8" s="40">
        <f>YillikSatisTahmini!L7</f>
        <v>12000</v>
      </c>
      <c r="M8" s="40">
        <f>YillikSatisTahmini!M7</f>
        <v>12000</v>
      </c>
    </row>
    <row r="9" spans="1:13" x14ac:dyDescent="0.25">
      <c r="A9" s="78" t="str">
        <f>YillikMaliyetTahmini!A24</f>
        <v>Yatak Odası</v>
      </c>
      <c r="B9" s="40">
        <f>YillikSatisTahmini!B8</f>
        <v>1273.972602739726</v>
      </c>
      <c r="C9" s="40">
        <f>YillikSatisTahmini!C8</f>
        <v>1191.7808219178082</v>
      </c>
      <c r="D9" s="40">
        <f>YillikSatisTahmini!D8</f>
        <v>1273.972602739726</v>
      </c>
      <c r="E9" s="40">
        <f>YillikSatisTahmini!E8</f>
        <v>1232.8767123287671</v>
      </c>
      <c r="F9" s="40">
        <f>YillikSatisTahmini!F8</f>
        <v>1273.972602739726</v>
      </c>
      <c r="G9" s="40">
        <f>YillikSatisTahmini!G8</f>
        <v>1232.8767123287671</v>
      </c>
      <c r="H9" s="40">
        <f>YillikSatisTahmini!H8</f>
        <v>1273.972602739726</v>
      </c>
      <c r="I9" s="40">
        <f>YillikSatisTahmini!I8</f>
        <v>1273.972602739726</v>
      </c>
      <c r="J9" s="40">
        <f>YillikSatisTahmini!J8</f>
        <v>1232.8767123287671</v>
      </c>
      <c r="K9" s="40">
        <f>YillikSatisTahmini!K8</f>
        <v>1273.972602739726</v>
      </c>
      <c r="L9" s="40">
        <f>YillikSatisTahmini!L8</f>
        <v>1232.8767123287671</v>
      </c>
      <c r="M9" s="40">
        <f>YillikSatisTahmini!M8</f>
        <v>1232.8767123287671</v>
      </c>
    </row>
    <row r="10" spans="1:13" x14ac:dyDescent="0.25">
      <c r="A10" s="78" t="str">
        <f>YillikMaliyetTahmini!A25</f>
        <v>Çocuk Odası</v>
      </c>
      <c r="B10" s="40">
        <f>YillikSatisTahmini!B9</f>
        <v>254.79452054794524</v>
      </c>
      <c r="C10" s="40">
        <f>YillikSatisTahmini!C9</f>
        <v>238.35616438356166</v>
      </c>
      <c r="D10" s="40">
        <f>YillikSatisTahmini!D9</f>
        <v>254.79452054794524</v>
      </c>
      <c r="E10" s="40">
        <f>YillikSatisTahmini!E9</f>
        <v>246.57534246575347</v>
      </c>
      <c r="F10" s="40">
        <f>YillikSatisTahmini!F9</f>
        <v>254.79452054794524</v>
      </c>
      <c r="G10" s="40">
        <f>YillikSatisTahmini!G9</f>
        <v>246.57534246575347</v>
      </c>
      <c r="H10" s="40">
        <f>YillikSatisTahmini!H9</f>
        <v>254.79452054794524</v>
      </c>
      <c r="I10" s="40">
        <f>YillikSatisTahmini!I9</f>
        <v>254.79452054794524</v>
      </c>
      <c r="J10" s="40">
        <f>YillikSatisTahmini!J9</f>
        <v>246.57534246575347</v>
      </c>
      <c r="K10" s="40">
        <f>YillikSatisTahmini!K9</f>
        <v>254.79452054794524</v>
      </c>
      <c r="L10" s="40">
        <f>YillikSatisTahmini!L9</f>
        <v>246.57534246575347</v>
      </c>
      <c r="M10" s="40">
        <f>YillikSatisTahmini!M9</f>
        <v>246.57534246575347</v>
      </c>
    </row>
    <row r="11" spans="1:13" x14ac:dyDescent="0.25">
      <c r="A11" s="35" t="s">
        <v>30</v>
      </c>
      <c r="B11" s="40">
        <f t="shared" ref="B11:M11" si="1">SUM(B7:B10)+B5</f>
        <v>18578.767123287671</v>
      </c>
      <c r="C11" s="40">
        <f t="shared" si="1"/>
        <v>20045.479452054791</v>
      </c>
      <c r="D11" s="40">
        <f t="shared" si="1"/>
        <v>23636.849315068488</v>
      </c>
      <c r="E11" s="40">
        <f t="shared" si="1"/>
        <v>25702.876712328762</v>
      </c>
      <c r="F11" s="40">
        <f t="shared" si="1"/>
        <v>28831.232876712325</v>
      </c>
      <c r="G11" s="40">
        <f t="shared" si="1"/>
        <v>30897.260273972599</v>
      </c>
      <c r="H11" s="40">
        <f t="shared" si="1"/>
        <v>34025.616438356163</v>
      </c>
      <c r="I11" s="40">
        <f t="shared" si="1"/>
        <v>36690.95890410959</v>
      </c>
      <c r="J11" s="40">
        <f t="shared" si="1"/>
        <v>38756.986301369863</v>
      </c>
      <c r="K11" s="40">
        <f t="shared" si="1"/>
        <v>41885.34246575342</v>
      </c>
      <c r="L11" s="40">
        <f t="shared" si="1"/>
        <v>43951.369863013693</v>
      </c>
      <c r="M11" s="40">
        <f t="shared" si="1"/>
        <v>46480.410958904104</v>
      </c>
    </row>
    <row r="12" spans="1:13" x14ac:dyDescent="0.25">
      <c r="A12" s="108" t="s">
        <v>31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30" customHeight="1" x14ac:dyDescent="0.25">
      <c r="A13" s="79" t="s">
        <v>32</v>
      </c>
      <c r="B13" s="37">
        <f>YillikMaliyetTahmini!B10</f>
        <v>14353.424657534248</v>
      </c>
      <c r="C13" s="37">
        <f>YillikMaliyetTahmini!C10</f>
        <v>13427.397260273972</v>
      </c>
      <c r="D13" s="37">
        <f>YillikMaliyetTahmini!D10</f>
        <v>14353.424657534248</v>
      </c>
      <c r="E13" s="37">
        <f>YillikMaliyetTahmini!E10</f>
        <v>13890.410958904109</v>
      </c>
      <c r="F13" s="37">
        <f>YillikMaliyetTahmini!F10</f>
        <v>14353.424657534248</v>
      </c>
      <c r="G13" s="37">
        <f>YillikMaliyetTahmini!G10</f>
        <v>13890.410958904109</v>
      </c>
      <c r="H13" s="37">
        <f>YillikMaliyetTahmini!H10</f>
        <v>14353.424657534248</v>
      </c>
      <c r="I13" s="37">
        <f>YillikMaliyetTahmini!I10</f>
        <v>14353.424657534248</v>
      </c>
      <c r="J13" s="37">
        <f>YillikMaliyetTahmini!J10</f>
        <v>13890.410958904109</v>
      </c>
      <c r="K13" s="37">
        <f>YillikMaliyetTahmini!K10</f>
        <v>14353.424657534248</v>
      </c>
      <c r="L13" s="37">
        <f>YillikMaliyetTahmini!L10</f>
        <v>13890.410958904109</v>
      </c>
      <c r="M13" s="37">
        <f>YillikMaliyetTahmini!M10</f>
        <v>13890.410958904109</v>
      </c>
    </row>
    <row r="14" spans="1:13" x14ac:dyDescent="0.25">
      <c r="A14" s="35" t="s">
        <v>82</v>
      </c>
      <c r="B14" s="40">
        <f>IsletmeGiderleri!$C4</f>
        <v>200</v>
      </c>
      <c r="C14" s="40">
        <f>IsletmeGiderleri!$C4</f>
        <v>200</v>
      </c>
      <c r="D14" s="40">
        <f>IsletmeGiderleri!$C4</f>
        <v>200</v>
      </c>
      <c r="E14" s="40">
        <f>IsletmeGiderleri!$C4</f>
        <v>200</v>
      </c>
      <c r="F14" s="40">
        <f>IsletmeGiderleri!$C4</f>
        <v>200</v>
      </c>
      <c r="G14" s="40">
        <f>IsletmeGiderleri!$C4</f>
        <v>200</v>
      </c>
      <c r="H14" s="40">
        <f>IsletmeGiderleri!$C4</f>
        <v>200</v>
      </c>
      <c r="I14" s="40">
        <f>IsletmeGiderleri!$C4</f>
        <v>200</v>
      </c>
      <c r="J14" s="40">
        <f>IsletmeGiderleri!$C4</f>
        <v>200</v>
      </c>
      <c r="K14" s="40">
        <f>IsletmeGiderleri!$C4</f>
        <v>200</v>
      </c>
      <c r="L14" s="40">
        <f>IsletmeGiderleri!$C4</f>
        <v>200</v>
      </c>
      <c r="M14" s="40">
        <f>IsletmeGiderleri!$C4</f>
        <v>200</v>
      </c>
    </row>
    <row r="15" spans="1:13" x14ac:dyDescent="0.25">
      <c r="A15" s="35" t="s">
        <v>83</v>
      </c>
      <c r="B15" s="40">
        <f>IsletmeGiderleri!$C5</f>
        <v>80</v>
      </c>
      <c r="C15" s="40">
        <f>IsletmeGiderleri!$C5</f>
        <v>80</v>
      </c>
      <c r="D15" s="40">
        <f>IsletmeGiderleri!$C5</f>
        <v>80</v>
      </c>
      <c r="E15" s="40">
        <f>IsletmeGiderleri!$C5</f>
        <v>80</v>
      </c>
      <c r="F15" s="40">
        <f>IsletmeGiderleri!$C5</f>
        <v>80</v>
      </c>
      <c r="G15" s="40">
        <f>IsletmeGiderleri!$C5</f>
        <v>80</v>
      </c>
      <c r="H15" s="40">
        <f>IsletmeGiderleri!$C5</f>
        <v>80</v>
      </c>
      <c r="I15" s="40">
        <f>IsletmeGiderleri!$C5</f>
        <v>80</v>
      </c>
      <c r="J15" s="40">
        <f>IsletmeGiderleri!$C5</f>
        <v>80</v>
      </c>
      <c r="K15" s="40">
        <f>IsletmeGiderleri!$C5</f>
        <v>80</v>
      </c>
      <c r="L15" s="40">
        <f>IsletmeGiderleri!$C5</f>
        <v>80</v>
      </c>
      <c r="M15" s="40">
        <f>IsletmeGiderleri!$C5</f>
        <v>80</v>
      </c>
    </row>
    <row r="16" spans="1:13" x14ac:dyDescent="0.25">
      <c r="A16" s="35" t="s">
        <v>81</v>
      </c>
      <c r="B16" s="40">
        <f>IsletmeGiderleri!$C6</f>
        <v>30</v>
      </c>
      <c r="C16" s="40">
        <f>IsletmeGiderleri!$C6</f>
        <v>30</v>
      </c>
      <c r="D16" s="40">
        <f>IsletmeGiderleri!$C6</f>
        <v>30</v>
      </c>
      <c r="E16" s="40">
        <f>IsletmeGiderleri!$C6</f>
        <v>30</v>
      </c>
      <c r="F16" s="40">
        <f>IsletmeGiderleri!$C6</f>
        <v>30</v>
      </c>
      <c r="G16" s="40">
        <f>IsletmeGiderleri!$C6</f>
        <v>30</v>
      </c>
      <c r="H16" s="40">
        <f>IsletmeGiderleri!$C6</f>
        <v>30</v>
      </c>
      <c r="I16" s="40">
        <f>IsletmeGiderleri!$C6</f>
        <v>30</v>
      </c>
      <c r="J16" s="40">
        <f>IsletmeGiderleri!$C6</f>
        <v>30</v>
      </c>
      <c r="K16" s="40">
        <f>IsletmeGiderleri!$C6</f>
        <v>30</v>
      </c>
      <c r="L16" s="40">
        <f>IsletmeGiderleri!$C6</f>
        <v>30</v>
      </c>
      <c r="M16" s="40">
        <f>IsletmeGiderleri!$C6</f>
        <v>30</v>
      </c>
    </row>
    <row r="17" spans="1:13" x14ac:dyDescent="0.25">
      <c r="A17" s="35" t="s">
        <v>80</v>
      </c>
      <c r="B17" s="40">
        <f>IsletmeGiderleri!$C7</f>
        <v>100</v>
      </c>
      <c r="C17" s="40">
        <f>IsletmeGiderleri!$C7</f>
        <v>100</v>
      </c>
      <c r="D17" s="40">
        <f>IsletmeGiderleri!$C7</f>
        <v>100</v>
      </c>
      <c r="E17" s="40">
        <f>IsletmeGiderleri!$C7</f>
        <v>100</v>
      </c>
      <c r="F17" s="40">
        <f>IsletmeGiderleri!$C7</f>
        <v>100</v>
      </c>
      <c r="G17" s="40">
        <f>IsletmeGiderleri!$C7</f>
        <v>100</v>
      </c>
      <c r="H17" s="40">
        <f>IsletmeGiderleri!$C7</f>
        <v>100</v>
      </c>
      <c r="I17" s="40">
        <f>IsletmeGiderleri!$C7</f>
        <v>100</v>
      </c>
      <c r="J17" s="40">
        <f>IsletmeGiderleri!$C7</f>
        <v>100</v>
      </c>
      <c r="K17" s="40">
        <f>IsletmeGiderleri!$C7</f>
        <v>100</v>
      </c>
      <c r="L17" s="40">
        <f>IsletmeGiderleri!$C7</f>
        <v>100</v>
      </c>
      <c r="M17" s="40">
        <f>IsletmeGiderleri!$C7</f>
        <v>100</v>
      </c>
    </row>
    <row r="18" spans="1:13" x14ac:dyDescent="0.25">
      <c r="A18" s="35" t="s">
        <v>22</v>
      </c>
      <c r="B18" s="40">
        <f>IsletmeGiderleri!$C8</f>
        <v>750</v>
      </c>
      <c r="C18" s="40">
        <f>IsletmeGiderleri!$C8</f>
        <v>750</v>
      </c>
      <c r="D18" s="40">
        <f>IsletmeGiderleri!$C8</f>
        <v>750</v>
      </c>
      <c r="E18" s="40">
        <f>IsletmeGiderleri!$C8</f>
        <v>750</v>
      </c>
      <c r="F18" s="40">
        <f>IsletmeGiderleri!$C8</f>
        <v>750</v>
      </c>
      <c r="G18" s="40">
        <f>IsletmeGiderleri!$C8</f>
        <v>750</v>
      </c>
      <c r="H18" s="40">
        <f>IsletmeGiderleri!$C8</f>
        <v>750</v>
      </c>
      <c r="I18" s="40">
        <f>IsletmeGiderleri!$C8</f>
        <v>750</v>
      </c>
      <c r="J18" s="40">
        <f>IsletmeGiderleri!$C8</f>
        <v>750</v>
      </c>
      <c r="K18" s="40">
        <f>IsletmeGiderleri!$C8</f>
        <v>750</v>
      </c>
      <c r="L18" s="40">
        <f>IsletmeGiderleri!$C8</f>
        <v>750</v>
      </c>
      <c r="M18" s="40">
        <f>IsletmeGiderleri!$C8</f>
        <v>750</v>
      </c>
    </row>
    <row r="19" spans="1:13" x14ac:dyDescent="0.25">
      <c r="A19" s="35" t="s">
        <v>23</v>
      </c>
      <c r="B19" s="40">
        <f>IsletmeGiderleri!$C9</f>
        <v>300</v>
      </c>
      <c r="C19" s="40">
        <f>IsletmeGiderleri!$C9</f>
        <v>300</v>
      </c>
      <c r="D19" s="40">
        <f>IsletmeGiderleri!$C9</f>
        <v>300</v>
      </c>
      <c r="E19" s="40">
        <f>IsletmeGiderleri!$C9</f>
        <v>300</v>
      </c>
      <c r="F19" s="40">
        <f>IsletmeGiderleri!$C9</f>
        <v>300</v>
      </c>
      <c r="G19" s="40">
        <f>IsletmeGiderleri!$C9</f>
        <v>300</v>
      </c>
      <c r="H19" s="40">
        <f>IsletmeGiderleri!$C9</f>
        <v>300</v>
      </c>
      <c r="I19" s="40">
        <f>IsletmeGiderleri!$C9</f>
        <v>300</v>
      </c>
      <c r="J19" s="40">
        <f>IsletmeGiderleri!$C9</f>
        <v>300</v>
      </c>
      <c r="K19" s="40">
        <f>IsletmeGiderleri!$C9</f>
        <v>300</v>
      </c>
      <c r="L19" s="40">
        <f>IsletmeGiderleri!$C9</f>
        <v>300</v>
      </c>
      <c r="M19" s="40">
        <f>IsletmeGiderleri!$C9</f>
        <v>300</v>
      </c>
    </row>
    <row r="20" spans="1:13" x14ac:dyDescent="0.25">
      <c r="A20" s="35" t="s">
        <v>79</v>
      </c>
      <c r="B20" s="40">
        <f>IsletmeGiderleri!$C10</f>
        <v>100</v>
      </c>
      <c r="C20" s="40">
        <f>IsletmeGiderleri!$C10</f>
        <v>100</v>
      </c>
      <c r="D20" s="40">
        <f>IsletmeGiderleri!$C10</f>
        <v>100</v>
      </c>
      <c r="E20" s="40">
        <f>IsletmeGiderleri!$C10</f>
        <v>100</v>
      </c>
      <c r="F20" s="40">
        <f>IsletmeGiderleri!$C10</f>
        <v>100</v>
      </c>
      <c r="G20" s="40">
        <f>IsletmeGiderleri!$C10</f>
        <v>100</v>
      </c>
      <c r="H20" s="40">
        <f>IsletmeGiderleri!$C10</f>
        <v>100</v>
      </c>
      <c r="I20" s="40">
        <f>IsletmeGiderleri!$C10</f>
        <v>100</v>
      </c>
      <c r="J20" s="40">
        <f>IsletmeGiderleri!$C10</f>
        <v>100</v>
      </c>
      <c r="K20" s="40">
        <f>IsletmeGiderleri!$C10</f>
        <v>100</v>
      </c>
      <c r="L20" s="40">
        <f>IsletmeGiderleri!$C10</f>
        <v>100</v>
      </c>
      <c r="M20" s="40">
        <f>IsletmeGiderleri!$C10</f>
        <v>100</v>
      </c>
    </row>
    <row r="21" spans="1:13" x14ac:dyDescent="0.25">
      <c r="A21" s="35" t="s">
        <v>78</v>
      </c>
      <c r="B21" s="40">
        <f>IsletmeGiderleri!$C11</f>
        <v>0</v>
      </c>
      <c r="C21" s="40">
        <f>IsletmeGiderleri!$C11</f>
        <v>0</v>
      </c>
      <c r="D21" s="40">
        <f>IsletmeGiderleri!$C11</f>
        <v>0</v>
      </c>
      <c r="E21" s="40">
        <f>IsletmeGiderleri!$C11</f>
        <v>0</v>
      </c>
      <c r="F21" s="40">
        <f>IsletmeGiderleri!$C11</f>
        <v>0</v>
      </c>
      <c r="G21" s="40">
        <f>IsletmeGiderleri!$C11</f>
        <v>0</v>
      </c>
      <c r="H21" s="40">
        <f>IsletmeGiderleri!$C11</f>
        <v>0</v>
      </c>
      <c r="I21" s="40">
        <f>IsletmeGiderleri!$C11</f>
        <v>0</v>
      </c>
      <c r="J21" s="40">
        <f>IsletmeGiderleri!$C11</f>
        <v>0</v>
      </c>
      <c r="K21" s="40">
        <f>IsletmeGiderleri!$C11</f>
        <v>0</v>
      </c>
      <c r="L21" s="40">
        <f>IsletmeGiderleri!$C11</f>
        <v>0</v>
      </c>
      <c r="M21" s="40">
        <f>IsletmeGiderleri!$C11</f>
        <v>0</v>
      </c>
    </row>
    <row r="22" spans="1:13" x14ac:dyDescent="0.25">
      <c r="A22" s="24" t="s">
        <v>33</v>
      </c>
      <c r="B22" s="40">
        <f>SUM(B13:B21)</f>
        <v>15913.424657534248</v>
      </c>
      <c r="C22" s="40">
        <f t="shared" ref="C22:M22" si="2">SUM(C13:C21)</f>
        <v>14987.397260273972</v>
      </c>
      <c r="D22" s="40">
        <f t="shared" si="2"/>
        <v>15913.424657534248</v>
      </c>
      <c r="E22" s="40">
        <f t="shared" si="2"/>
        <v>15450.410958904109</v>
      </c>
      <c r="F22" s="40">
        <f t="shared" si="2"/>
        <v>15913.424657534248</v>
      </c>
      <c r="G22" s="40">
        <f t="shared" si="2"/>
        <v>15450.410958904109</v>
      </c>
      <c r="H22" s="40">
        <f t="shared" si="2"/>
        <v>15913.424657534248</v>
      </c>
      <c r="I22" s="40">
        <f t="shared" si="2"/>
        <v>15913.424657534248</v>
      </c>
      <c r="J22" s="40">
        <f t="shared" si="2"/>
        <v>15450.410958904109</v>
      </c>
      <c r="K22" s="40">
        <f t="shared" si="2"/>
        <v>15913.424657534248</v>
      </c>
      <c r="L22" s="40">
        <f t="shared" si="2"/>
        <v>15450.410958904109</v>
      </c>
      <c r="M22" s="40">
        <f t="shared" si="2"/>
        <v>15450.410958904109</v>
      </c>
    </row>
    <row r="23" spans="1:13" x14ac:dyDescent="0.25">
      <c r="A23" s="23" t="s">
        <v>34</v>
      </c>
      <c r="B23" s="23">
        <f>B11-B22</f>
        <v>2665.3424657534233</v>
      </c>
      <c r="C23" s="23">
        <f>C11-C22</f>
        <v>5058.0821917808189</v>
      </c>
      <c r="D23" s="23">
        <f t="shared" ref="D23:M23" si="3">D11-D22</f>
        <v>7723.4246575342404</v>
      </c>
      <c r="E23" s="23">
        <f t="shared" si="3"/>
        <v>10252.465753424653</v>
      </c>
      <c r="F23" s="23">
        <f t="shared" si="3"/>
        <v>12917.808219178078</v>
      </c>
      <c r="G23" s="23">
        <f t="shared" si="3"/>
        <v>15446.84931506849</v>
      </c>
      <c r="H23" s="23">
        <f t="shared" si="3"/>
        <v>18112.191780821915</v>
      </c>
      <c r="I23" s="23">
        <f t="shared" si="3"/>
        <v>20777.534246575342</v>
      </c>
      <c r="J23" s="23">
        <f t="shared" si="3"/>
        <v>23306.575342465752</v>
      </c>
      <c r="K23" s="23">
        <f t="shared" si="3"/>
        <v>25971.917808219172</v>
      </c>
      <c r="L23" s="23">
        <f t="shared" si="3"/>
        <v>28500.958904109582</v>
      </c>
      <c r="M23" s="23">
        <f t="shared" si="3"/>
        <v>31029.999999999993</v>
      </c>
    </row>
  </sheetData>
  <mergeCells count="4">
    <mergeCell ref="A1:M1"/>
    <mergeCell ref="A4:M4"/>
    <mergeCell ref="A6:M6"/>
    <mergeCell ref="A12:M1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DonenVarlik</vt:lpstr>
      <vt:lpstr>YillikMaliyetTahmini</vt:lpstr>
      <vt:lpstr>YillikSatisTahmini</vt:lpstr>
      <vt:lpstr>5YillikSatisTahmini</vt:lpstr>
      <vt:lpstr>DuranVarlik</vt:lpstr>
      <vt:lpstr>IsletmeGiderleri</vt:lpstr>
      <vt:lpstr>KurulusSabitYat_Destegi</vt:lpstr>
      <vt:lpstr>IsletmeGiderleri_Destegi</vt:lpstr>
      <vt:lpstr>AylikNakitProjeksiyonu</vt:lpstr>
      <vt:lpstr>YillikNakitProjeksiyonu</vt:lpstr>
      <vt:lpstr>Basabas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frees</dc:creator>
  <cp:lastModifiedBy>ABDULLAH FETTAHOĞLU</cp:lastModifiedBy>
  <cp:lastPrinted>2012-05-07T02:45:24Z</cp:lastPrinted>
  <dcterms:created xsi:type="dcterms:W3CDTF">2012-01-03T10:28:34Z</dcterms:created>
  <dcterms:modified xsi:type="dcterms:W3CDTF">2022-03-31T13:55:29Z</dcterms:modified>
</cp:coreProperties>
</file>